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cLBl6qCPJg95hMRLMTPSmi/geOkTgi03gxKOnEODGXIOo8uhawIwts2Tbbb3/dk3JJlexIswDNoin0KPivlF1A==" workbookSaltValue="6Ym1z4ttUgOihNbCljWeY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U9" i="17" s="1"/>
  <c r="U19" i="17" s="1"/>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S17" i="17" s="1"/>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3" i="17" s="1"/>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BA13" i="8" s="1"/>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AH19" i="8"/>
  <c r="AB19" i="19"/>
  <c r="D18" i="12"/>
  <c r="ER19" i="8"/>
  <c r="EQ19" i="8"/>
  <c r="BA13" i="16"/>
  <c r="AC17" i="11"/>
  <c r="G18" i="12"/>
  <c r="W19" i="13"/>
  <c r="R8" i="9"/>
  <c r="X12" i="21" s="1"/>
  <c r="Z19" i="8"/>
  <c r="AL13" i="16"/>
  <c r="BF11" i="11"/>
  <c r="BH11" i="16"/>
  <c r="BL9" i="11"/>
  <c r="BH17" i="16"/>
  <c r="BG10" i="11"/>
  <c r="BM16" i="11"/>
  <c r="P17" i="17"/>
  <c r="BF17" i="11"/>
  <c r="BF16" i="11"/>
  <c r="S17" i="16"/>
  <c r="BL12" i="11"/>
  <c r="S13" i="16"/>
  <c r="P13" i="16"/>
  <c r="AN13" i="20"/>
  <c r="X11" i="17"/>
  <c r="M18" i="2"/>
  <c r="H13" i="12"/>
  <c r="T13" i="12"/>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S15" i="17"/>
  <c r="E13" i="17"/>
  <c r="L15" i="2"/>
  <c r="X15" i="16"/>
  <c r="X18" i="16" s="1"/>
  <c r="V10" i="16"/>
  <c r="T13" i="20"/>
  <c r="T13" i="16"/>
  <c r="AP13" i="16"/>
  <c r="V9" i="16"/>
  <c r="BG15" i="13"/>
  <c r="J20" i="20"/>
  <c r="AF20" i="20"/>
  <c r="M20" i="20"/>
  <c r="AG20" i="20"/>
  <c r="S20" i="20"/>
  <c r="K20" i="20"/>
  <c r="Z20" i="20"/>
  <c r="AM20" i="20"/>
  <c r="AK20" i="20"/>
  <c r="W20" i="21"/>
  <c r="F20" i="20"/>
  <c r="AN17" i="11" l="1"/>
  <c r="C19" i="3"/>
  <c r="AJ19" i="8"/>
  <c r="AR18" i="11"/>
  <c r="E18" i="12"/>
  <c r="T19" i="8"/>
  <c r="I10" i="3"/>
  <c r="AA19" i="8"/>
  <c r="BF9" i="8"/>
  <c r="I19" i="8"/>
  <c r="BG9" i="8"/>
  <c r="K9" i="7" s="1"/>
  <c r="AO12" i="11"/>
  <c r="D17" i="6"/>
  <c r="AA9" i="16"/>
  <c r="L9" i="2"/>
  <c r="L17" i="2"/>
  <c r="BK10" i="11"/>
  <c r="BH12" i="16"/>
  <c r="BM9" i="11"/>
  <c r="BG16" i="11"/>
  <c r="BH11" i="11"/>
  <c r="BK16" i="11"/>
  <c r="BJ10" i="11"/>
  <c r="BL10" i="11"/>
  <c r="BL15" i="11"/>
  <c r="BF12" i="11"/>
  <c r="P15" i="17"/>
  <c r="S15" i="16"/>
  <c r="S11" i="14"/>
  <c r="V11" i="14" s="1"/>
  <c r="S12" i="14"/>
  <c r="V12" i="14" s="1"/>
  <c r="BV9" i="16"/>
  <c r="BU16" i="17"/>
  <c r="BU17" i="17"/>
  <c r="BV10" i="16"/>
  <c r="BU9" i="17"/>
  <c r="BW15" i="20"/>
  <c r="BV15" i="16"/>
  <c r="BW16" i="20"/>
  <c r="BV16" i="16"/>
  <c r="BW17" i="20"/>
  <c r="BW9" i="20"/>
  <c r="BU15" i="17"/>
  <c r="T15" i="16"/>
  <c r="T17" i="16"/>
  <c r="BK17" i="11"/>
  <c r="R17" i="20"/>
  <c r="R18" i="20" s="1"/>
  <c r="BG15" i="11"/>
  <c r="AP15" i="20"/>
  <c r="BJ12" i="11"/>
  <c r="BJ15" i="11"/>
  <c r="BI15" i="11"/>
  <c r="S9" i="14"/>
  <c r="V9" i="14" s="1"/>
  <c r="Q10" i="21"/>
  <c r="BI10" i="11"/>
  <c r="V11" i="11"/>
  <c r="BK11" i="11"/>
  <c r="BK9" i="11"/>
  <c r="BF10" i="11"/>
  <c r="BK12" i="11"/>
  <c r="BL17" i="11"/>
  <c r="Q17" i="20"/>
  <c r="Q18" i="20" s="1"/>
  <c r="BH15" i="16"/>
  <c r="BH15" i="11"/>
  <c r="BJ17" i="11"/>
  <c r="V15" i="11"/>
  <c r="BH9" i="16"/>
  <c r="AP16" i="20"/>
  <c r="BF12" i="8"/>
  <c r="AY13" i="8"/>
  <c r="BE9" i="8"/>
  <c r="I9" i="7" s="1"/>
  <c r="BG12" i="8"/>
  <c r="AC12" i="11"/>
  <c r="BB13" i="13"/>
  <c r="BD15" i="8"/>
  <c r="H15" i="7" s="1"/>
  <c r="G18" i="2"/>
  <c r="BD11" i="13"/>
  <c r="BE11"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I11" i="7" s="1"/>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H9" i="7"/>
  <c r="E11" i="6"/>
  <c r="AO12" i="17"/>
  <c r="I13" i="2"/>
  <c r="J13" i="2" s="1"/>
  <c r="H12" i="2"/>
  <c r="D11" i="2"/>
  <c r="B11" i="6"/>
  <c r="AL11" i="11"/>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AO16" i="17"/>
  <c r="I18" i="2"/>
  <c r="J18" i="2" s="1"/>
  <c r="E16" i="6"/>
  <c r="D16" i="6"/>
  <c r="L16" i="14"/>
  <c r="L10" i="14"/>
  <c r="H10" i="2"/>
  <c r="D10" i="2"/>
  <c r="AO10" i="11"/>
  <c r="C9" i="6"/>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T20" i="20"/>
  <c r="AZ20" i="20"/>
  <c r="T20" i="21"/>
  <c r="AJ20" i="20"/>
  <c r="Q20" i="20"/>
  <c r="AQ20" i="21"/>
  <c r="AU20" i="20"/>
  <c r="AD20" i="20"/>
  <c r="G18" i="14"/>
  <c r="AL20" i="20"/>
  <c r="AI20" i="20"/>
  <c r="U16" i="11"/>
  <c r="AV20" i="20"/>
  <c r="Y20" i="20"/>
  <c r="O10" i="11"/>
  <c r="U12" i="11"/>
  <c r="U10" i="11"/>
  <c r="AA20" i="20"/>
  <c r="E20" i="20"/>
  <c r="L20" i="20"/>
  <c r="AQ20" i="20"/>
  <c r="W20" i="20"/>
  <c r="K9" i="12" l="1"/>
  <c r="I9" i="12"/>
  <c r="BD13" i="13"/>
  <c r="J15" i="12"/>
  <c r="I12" i="12"/>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AV20" i="21"/>
  <c r="AB20" i="20"/>
  <c r="O20" i="20"/>
  <c r="H20" i="20"/>
  <c r="O16" i="11"/>
  <c r="H20" i="17"/>
  <c r="X20" i="20"/>
  <c r="AW20" i="11"/>
  <c r="G19" i="20"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Z20" i="11"/>
  <c r="AJ20" i="16"/>
  <c r="AE20" i="16"/>
  <c r="V20" i="20"/>
  <c r="AR20" i="20"/>
  <c r="U20" i="20"/>
  <c r="AP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AO20" i="11"/>
  <c r="F20" i="11"/>
  <c r="V20" i="11"/>
  <c r="AO20" i="17"/>
  <c r="AU20" i="11"/>
  <c r="M20" i="16"/>
  <c r="BO20" i="16"/>
  <c r="AV20" i="17"/>
  <c r="N20" i="17"/>
  <c r="BC20" i="16"/>
  <c r="BD19" i="8" l="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<sst xmlns="http://schemas.openxmlformats.org/spreadsheetml/2006/main" count="2080" uniqueCount="914">
  <si>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</si>
  <si>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</si>
  <si>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</si>
  <si>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</si>
  <si>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</si>
  <si>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</si>
  <si>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</si>
  <si>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</si>
  <si>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</si>
  <si>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</si>
  <si>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</si>
  <si>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</si>
  <si>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</si>
  <si>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</si>
  <si>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</si>
  <si>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</si>
  <si>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</si>
  <si>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</si>
  <si>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</si>
  <si>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</si>
  <si>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</si>
  <si>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</si>
  <si>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</si>
  <si>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</si>
  <si>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</si>
  <si>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</si>
  <si>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</si>
  <si>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</si>
  <si>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</si>
  <si>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</si>
  <si>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</si>
  <si>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</si>
  <si>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</si>
  <si>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</si>
  <si>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</si>
  <si>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</si>
  <si>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</si>
  <si>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</si>
  <si>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</si>
  <si>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</si>
  <si>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</si>
  <si>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</si>
  <si>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</si>
  <si>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</si>
  <si>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</si>
  <si>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</si>
  <si>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</si>
  <si>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</si>
  <si>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</si>
  <si>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</si>
  <si>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</si>
  <si>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</si>
  <si>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</si>
  <si>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</si>
  <si>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</si>
  <si>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</si>
  <si>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</si>
  <si>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</si>
  <si>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</si>
  <si>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</si>
  <si>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</si>
  <si>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</si>
  <si>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</si>
  <si>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</si>
  <si>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</si>
  <si>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</si>
  <si>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</si>
  <si>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</si>
  <si>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</si>
  <si>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</si>
  <si>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</si>
  <si>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</si>
  <si>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</si>
  <si>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</si>
  <si>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</si>
  <si>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</si>
  <si>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</si>
  <si>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</si>
  <si>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</si>
  <si>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</si>
  <si>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</si>
  <si>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</si>
  <si>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</si>
  <si>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</si>
  <si>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</si>
  <si>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</si>
  <si>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</si>
  <si>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</si>
  <si>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</si>
  <si>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</si>
  <si>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</si>
  <si>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</si>
  <si>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</si>
  <si>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</si>
  <si>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</si>
  <si>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</si>
  <si>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</si>
  <si>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</si>
  <si>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</si>
  <si>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</si>
  <si>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</si>
  <si>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</si>
  <si>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</si>
  <si>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</si>
  <si>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</si>
  <si>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</si>
  <si>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</si>
  <si>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</si>
  <si>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</si>
  <si>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</si>
  <si>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</si>
  <si>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</si>
  <si>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</si>
  <si>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</si>
  <si>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</si>
  <si>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</si>
  <si>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</si>
  <si>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</si>
  <si>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</si>
  <si>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</si>
  <si>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</si>
  <si>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</si>
  <si>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</si>
  <si>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</si>
  <si>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</si>
  <si>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</si>
  <si>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</si>
  <si>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</si>
  <si>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</si>
  <si>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</si>
  <si>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</si>
  <si>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</si>
  <si>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</si>
  <si>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</si>
  <si>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</si>
  <si>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</si>
  <si>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</si>
  <si>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</si>
  <si>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</si>
  <si>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</si>
  <si>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</si>
  <si>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</si>
  <si>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</si>
  <si>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</si>
  <si>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</si>
  <si>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</si>
  <si>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</si>
  <si>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</si>
  <si>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</si>
  <si>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</si>
  <si>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</si>
  <si>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</si>
  <si>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</si>
  <si>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</si>
  <si>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</si>
  <si>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</si>
  <si>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</si>
  <si>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</si>
  <si>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</si>
  <si>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</si>
  <si>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</si>
  <si>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</si>
  <si>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</si>
  <si>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</si>
  <si>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</si>
  <si>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</si>
  <si>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</si>
  <si>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</si>
  <si>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</si>
  <si>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</si>
  <si>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</si>
  <si>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</si>
  <si>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</si>
  <si>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</si>
  <si>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</si>
  <si>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</si>
  <si>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</si>
  <si>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</si>
  <si>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</si>
  <si>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</si>
  <si>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</si>
  <si>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</si>
  <si>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</si>
  <si>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</si>
  <si>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</si>
  <si>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</si>
  <si>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</si>
  <si>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</si>
  <si>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</si>
  <si>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</si>
  <si>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</si>
  <si>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</si>
  <si>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</si>
  <si>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</si>
  <si>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</si>
  <si>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</si>
  <si>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</si>
  <si>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</si>
  <si>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</si>
  <si>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</si>
  <si>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</si>
  <si>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</si>
  <si>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</si>
  <si>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</si>
  <si>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</si>
  <si>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</si>
  <si>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</si>
  <si>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</si>
  <si>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</si>
  <si>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</si>
  <si>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</si>
  <si>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</si>
  <si>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</si>
  <si>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</si>
  <si>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</si>
  <si>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</si>
  <si>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</si>
  <si>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</si>
  <si>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</si>
  <si>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</si>
  <si>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</si>
  <si>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</si>
  <si>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</si>
  <si>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</si>
  <si>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</si>
  <si>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</si>
  <si>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</si>
  <si>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</si>
  <si>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</si>
  <si>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</si>
  <si>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</si>
  <si>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</si>
  <si>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</si>
  <si>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</si>
  <si>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</si>
  <si>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</si>
  <si>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</si>
  <si>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</si>
  <si>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</si>
  <si>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</si>
  <si>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</si>
  <si>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</si>
  <si>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</si>
  <si>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</si>
  <si>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</si>
  <si>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</si>
  <si>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</si>
  <si>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</si>
  <si>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</si>
  <si>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</si>
  <si>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</si>
  <si>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</si>
  <si>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</si>
  <si>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</si>
  <si>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</si>
  <si>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</si>
  <si>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</si>
  <si>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</si>
  <si>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</si>
  <si>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</si>
  <si>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</si>
  <si>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</si>
  <si>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</si>
  <si>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</si>
  <si>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</si>
  <si>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</si>
  <si>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</si>
  <si>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</si>
  <si>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</si>
  <si>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</si>
  <si>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</si>
  <si>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</si>
  <si>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</si>
  <si>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</si>
  <si>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</si>
  <si>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</si>
  <si>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</si>
  <si>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</si>
  <si>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</si>
  <si>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</si>
  <si>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</si>
  <si>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</si>
  <si>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</si>
  <si>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</si>
  <si>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</si>
  <si>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</si>
  <si>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</si>
  <si>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</si>
  <si>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</si>
  <si>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</si>
  <si>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</si>
  <si>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</si>
  <si>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</si>
  <si>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</si>
  <si>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</si>
  <si>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</si>
  <si>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</si>
  <si>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</si>
  <si>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</si>
  <si>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</si>
  <si>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</si>
  <si>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</si>
  <si>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</si>
  <si>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</si>
  <si>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</si>
  <si>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</si>
  <si>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</si>
  <si>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</si>
  <si>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</si>
  <si>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</si>
  <si>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</si>
  <si>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</si>
  <si>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</si>
  <si>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</si>
  <si>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</si>
  <si>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</si>
  <si>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</si>
  <si>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</si>
  <si>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</si>
  <si>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</si>
  <si>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</si>
  <si>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</si>
  <si>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</si>
  <si>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</si>
  <si>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</si>
  <si>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</si>
  <si>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</si>
  <si>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</si>
  <si>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</si>
  <si>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</si>
  <si>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</si>
  <si>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</si>
  <si>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</si>
  <si>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</si>
  <si>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</si>
  <si>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</si>
  <si>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</si>
  <si>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</si>
  <si>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</si>
  <si>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</si>
  <si>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</si>
  <si>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</si>
  <si>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</si>
  <si>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</si>
  <si>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</si>
  <si>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</si>
  <si>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</si>
  <si>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</si>
  <si>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</si>
  <si>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</si>
  <si>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</si>
  <si>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</si>
  <si>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</si>
  <si>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</si>
  <si>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</si>
  <si>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</si>
  <si>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</si>
  <si>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</si>
  <si>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</si>
  <si>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</si>
  <si>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</si>
  <si>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</si>
  <si>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</si>
  <si>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</si>
  <si>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</si>
  <si>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</si>
  <si>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</si>
  <si>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</si>
  <si>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</si>
  <si>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</si>
  <si>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</si>
  <si>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</si>
  <si>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</si>
  <si>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</si>
  <si>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</si>
  <si>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</si>
  <si>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</si>
  <si>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</si>
  <si>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</si>
  <si>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</si>
  <si>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</si>
  <si>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</si>
  <si>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</si>
  <si>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</si>
  <si>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</si>
  <si>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</si>
  <si>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</si>
  <si>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</si>
  <si>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</si>
  <si>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</si>
  <si>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</si>
  <si>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</si>
  <si>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</si>
  <si>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</si>
  <si>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</si>
  <si>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</si>
  <si>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</si>
  <si>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</si>
  <si>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</si>
  <si>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</si>
  <si>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</si>
  <si>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</si>
  <si>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</si>
  <si>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</si>
  <si>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</si>
  <si>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</si>
  <si>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</si>
  <si>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</si>
  <si>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</si>
  <si>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</si>
  <si>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</si>
  <si>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</si>
  <si>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</si>
  <si>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</si>
  <si>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</si>
  <si>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</si>
  <si>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</si>
  <si>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</si>
  <si>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</si>
  <si>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</si>
  <si>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</si>
  <si>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</si>
  <si>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</si>
  <si>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</si>
  <si>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</si>
  <si>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</si>
  <si>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</si>
  <si>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</si>
  <si>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</si>
  <si>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</si>
  <si>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</si>
  <si>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</si>
  <si>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</si>
  <si>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</si>
  <si>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</si>
  <si>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</si>
  <si>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</si>
  <si>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</si>
  <si>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</si>
  <si>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</si>
  <si>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</si>
  <si>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</si>
  <si>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</si>
  <si>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</si>
  <si>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</si>
  <si>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</si>
  <si>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</si>
  <si>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</si>
  <si>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</si>
  <si>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</si>
  <si>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</si>
  <si>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</si>
  <si>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</si>
  <si>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</si>
  <si>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</si>
  <si>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</si>
  <si>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</si>
  <si>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</si>
  <si>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</si>
  <si>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</si>
  <si>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</si>
  <si>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</si>
  <si>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</si>
  <si>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</si>
  <si>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</si>
  <si>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</si>
  <si>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</si>
  <si>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</si>
  <si>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</si>
  <si>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</si>
  <si>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</si>
  <si>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</si>
  <si>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</si>
  <si>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</si>
  <si>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</si>
  <si>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</si>
  <si>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</si>
  <si>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</si>
  <si>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</si>
  <si>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</si>
  <si>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</si>
  <si>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</si>
  <si>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</si>
  <si>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</si>
  <si>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</si>
  <si>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</si>
  <si>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</si>
  <si>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</si>
  <si>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</si>
  <si>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</si>
  <si>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</si>
  <si>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</si>
  <si>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</si>
  <si>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</si>
  <si>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</si>
  <si>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</si>
  <si>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</si>
  <si>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</si>
  <si>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</si>
  <si>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</si>
  <si>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</si>
  <si>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</si>
  <si>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</si>
  <si>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</si>
  <si>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</si>
  <si>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</si>
  <si>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</si>
  <si>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</si>
  <si>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</si>
  <si>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</si>
  <si>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</si>
  <si>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</si>
  <si>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</si>
  <si>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</si>
  <si>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</si>
  <si>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</si>
  <si>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</si>
  <si>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</si>
  <si>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</si>
  <si>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</si>
  <si>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</si>
  <si>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</si>
  <si>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</si>
  <si>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</si>
  <si>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</si>
  <si>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</si>
  <si>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</si>
  <si>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</si>
  <si>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</si>
  <si>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</si>
  <si>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</si>
  <si>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</si>
  <si>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</si>
  <si>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</si>
  <si>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</si>
  <si>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</si>
  <si>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</si>
  <si>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</si>
  <si>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</si>
  <si>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</si>
  <si>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</si>
  <si>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</si>
  <si>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</si>
  <si>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</si>
  <si>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</si>
  <si>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</si>
  <si>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</si>
  <si>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</si>
  <si>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</si>
  <si>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</si>
  <si>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</si>
  <si>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</si>
  <si>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</si>
  <si>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</si>
  <si>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</si>
  <si>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</si>
  <si>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</si>
  <si>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</si>
  <si>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</si>
  <si>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</si>
  <si>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</si>
  <si>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</si>
  <si>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</si>
  <si>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</si>
  <si>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</si>
  <si>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</si>
  <si>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</si>
  <si>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</si>
  <si>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</si>
  <si>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</si>
  <si>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</si>
  <si>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</si>
  <si>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</si>
  <si>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</si>
  <si>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</si>
  <si>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</si>
  <si>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</si>
  <si>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</si>
  <si>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</si>
  <si>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</si>
  <si>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</si>
  <si>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</si>
  <si>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</si>
  <si>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</si>
  <si>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</si>
  <si>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</si>
  <si>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</si>
  <si>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</si>
  <si>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</si>
  <si>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</si>
  <si>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</si>
  <si>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</si>
  <si>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</si>
  <si>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</si>
  <si>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</si>
  <si>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</si>
  <si>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</si>
  <si>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</si>
  <si>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</si>
  <si>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</si>
  <si>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</si>
  <si>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</si>
  <si>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</si>
  <si>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</si>
  <si>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</si>
  <si>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</si>
  <si>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</si>
  <si>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</si>
  <si>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</si>
  <si>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</si>
  <si>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</si>
  <si>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</si>
  <si>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</si>
  <si>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</si>
  <si>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</si>
  <si>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</si>
  <si>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</si>
  <si>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</si>
  <si>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</si>
  <si>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</si>
  <si>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</si>
  <si>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</si>
  <si>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</si>
  <si>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</si>
  <si>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</si>
  <si>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</si>
  <si>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</si>
  <si>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</si>
  <si>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</si>
  <si>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</si>
  <si>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</si>
  <si>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</si>
  <si>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</si>
  <si>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</si>
  <si>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</si>
  <si>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</si>
  <si>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</si>
  <si>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</si>
  <si>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</si>
  <si>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</si>
  <si>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</si>
  <si>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</si>
  <si>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</si>
  <si>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</si>
  <si>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</si>
  <si>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</si>
  <si>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</si>
  <si>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</si>
  <si>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</si>
  <si>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</si>
  <si>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</si>
  <si>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</si>
  <si>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</si>
  <si>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</si>
  <si>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</si>
  <si>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</si>
  <si>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</si>
  <si>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</si>
  <si>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</si>
  <si>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</si>
  <si>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</si>
  <si>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</si>
  <si>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</si>
  <si>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</si>
  <si>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</si>
  <si>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</si>
  <si>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</si>
  <si>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</si>
  <si>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</si>
  <si>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</si>
  <si>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</si>
  <si>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</si>
  <si>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</si>
  <si>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</si>
  <si>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</si>
  <si>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</si>
  <si>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</si>
  <si>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</si>
  <si>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</si>
  <si>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</si>
  <si>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</si>
  <si>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</si>
  <si>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</si>
  <si>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</si>
  <si>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</si>
  <si>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</si>
  <si>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</si>
  <si>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</si>
  <si>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</si>
  <si>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</si>
  <si>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</si>
  <si>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</si>
  <si>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</si>
  <si>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</si>
  <si>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</si>
  <si>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</si>
  <si>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</si>
  <si>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</si>
  <si>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</si>
  <si>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</si>
  <si>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</si>
  <si>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</si>
  <si>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</si>
  <si>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</si>
  <si>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</si>
  <si>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</si>
  <si>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</si>
  <si>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</si>
  <si>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</si>
  <si>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</si>
  <si>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</si>
  <si>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</si>
  <si>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</si>
  <si>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</si>
  <si>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</si>
  <si>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</si>
  <si>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</si>
  <si>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</si>
  <si>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</si>
  <si>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</si>
  <si>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</si>
  <si>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</si>
  <si>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</si>
  <si>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</si>
  <si>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</si>
  <si>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</si>
  <si>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</si>
  <si>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</si>
  <si>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</si>
  <si>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</si>
  <si>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</si>
  <si>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</si>
  <si>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</si>
  <si>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</si>
  <si>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</si>
  <si>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</si>
  <si>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</si>
  <si>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</si>
  <si>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</si>
  <si>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</si>
  <si>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</si>
  <si>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</si>
  <si>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</si>
  <si>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</si>
  <si>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</si>
  <si>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</si>
  <si>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</si>
  <si>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</si>
  <si>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</si>
  <si>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</si>
  <si>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</si>
  <si>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</si>
  <si>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</si>
  <si>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</si>
  <si>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</si>
  <si>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</si>
  <si>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</si>
  <si>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</si>
  <si>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</si>
  <si>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</si>
  <si>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</si>
  <si>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</si>
  <si>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</si>
  <si>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</si>
  <si>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</si>
  <si>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</si>
  <si>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</si>
  <si>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</si>
  <si>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</si>
  <si>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</si>
  <si>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</si>
  <si>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</si>
  <si>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</si>
  <si>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</si>
  <si>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</si>
  <si>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</si>
  <si>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</si>
  <si>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</si>
  <si>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</si>
  <si>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</si>
  <si>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</si>
  <si>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</si>
  <si>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</si>
  <si>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</si>
  <si>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</si>
  <si>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</si>
  <si>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</si>
  <si>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</si>
  <si>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</si>
  <si>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</si>
  <si>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</si>
  <si>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</si>
  <si>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</si>
  <si>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</si>
  <si>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</si>
  <si>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</si>
  <si>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</si>
  <si>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</si>
  <si>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</si>
  <si>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</si>
  <si>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</si>
  <si>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</si>
  <si>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</si>
  <si>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</si>
  <si>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</si>
  <si>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</si>
  <si>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</si>
  <si>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</si>
  <si>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</si>
  <si>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</si>
  <si>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</si>
  <si>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</si>
  <si>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</si>
  <si>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</si>
  <si>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</si>
  <si>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</si>
  <si>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</si>
  <si>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</si>
  <si>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</si>
  <si>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</si>
  <si>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</si>
  <si>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</si>
  <si>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</si>
  <si>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</si>
  <si>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</si>
  <si>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</si>
  <si>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</si>
  <si>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</si>
  <si>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</si>
  <si>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</si>
  <si>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</si>
  <si>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</si>
  <si>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</si>
  <si>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</si>
  <si>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</si>
  <si>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</si>
  <si>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</si>
  <si>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</si>
  <si>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</si>
  <si>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</si>
  <si>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</si>
  <si>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</si>
  <si>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</si>
  <si>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</si>
  <si>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</si>
  <si>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</si>
  <si>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</si>
  <si>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</si>
  <si>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</si>
  <si>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</si>
  <si>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</si>
  <si>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</si>
  <si>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</si>
  <si>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</si>
  <si>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</si>
  <si>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</si>
  <si>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</si>
  <si>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</si>
  <si>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</si>
  <si>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</si>
  <si>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</si>
  <si>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</si>
  <si>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</si>
  <si>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</si>
  <si>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</si>
  <si>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</si>
  <si>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</si>
  <si>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</si>
  <si>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</si>
  <si>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</si>
  <si>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</si>
  <si>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</si>
  <si>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</si>
  <si>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</si>
  <si>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</si>
  <si>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</si>
  <si>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</si>
  <si>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</si>
  <si>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</si>
  <si>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</si>
  <si>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</si>
  <si>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</si>
  <si>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</si>
  <si>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</si>
  <si>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</si>
  <si>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</si>
  <si>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</si>
  <si>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</si>
  <si>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</si>
  <si>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</si>
  <si>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</si>
  <si>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</si>
  <si>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</si>
  <si>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</si>
  <si>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</si>
  <si>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</si>
  <si>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</si>
  <si>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</si>
  <si>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</si>
  <si>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</si>
  <si>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</si>
  <si>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</si>
  <si>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</si>
  <si>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</si>
  <si>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</si>
  <si>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</si>
  <si>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</si>
  <si>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</si>
  <si>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</si>
  <si>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</si>
  <si>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</si>
  <si>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CADIZ</t>
  </si>
  <si>
    <t>Resumenes por Partidos Judiciales</t>
  </si>
  <si>
    <t>JEREZ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</si>
</sst>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kkou6/0wfrgHvbjzWD8+qngLH8+q3tI9DgwmhaTdKVpMA03z6Em6nkBowE45O5H4Ght0plRTCvcwUs+w1ZE1LQ==" saltValue="rFW8LGShsmOWXcqxLUX8h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6</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10.651265667240107</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131</v>
      </c>
      <c r="D10" s="228">
        <f>IF(ISNUMBER(Datos!I10),Datos!I10," - ")</f>
        <v>134</v>
      </c>
      <c r="E10" s="229">
        <f>IF(ISNUMBER(Datos!J10),Datos!J10," - ")</f>
        <v>269</v>
      </c>
      <c r="F10" s="229">
        <f>IF(ISNUMBER(Datos!K10),Datos!K10," - ")</f>
        <v>205</v>
      </c>
      <c r="G10" s="1037" t="str">
        <f>IF(Datos!E10&lt;&gt;"",Datos!E10,Datos!D10)</f>
        <v>37</v>
      </c>
      <c r="H10" s="230">
        <f>IF(ISNUMBER(Datos!L10),Datos!L10," - ")</f>
        <v>195</v>
      </c>
      <c r="I10" s="1047" t="str">
        <f>IF(ISNUMBER(Datos!AS10/Datos!BM10),Datos!AS10/Datos!BM10," - ")</f>
        <v xml:space="preserve"> - </v>
      </c>
      <c r="J10" s="1048">
        <f>IF(ISNUMBER(Datos!BY10/Datos!CN10),Datos!BY10/Datos!CN10," - ")</f>
        <v>0</v>
      </c>
      <c r="K10" s="233">
        <f t="shared" ref="K10:K12" si="1">IF(ISNUMBER((E10-F10)/C10),(E10-F10)/C10," - ")</f>
        <v>0.48854961832061067</v>
      </c>
      <c r="L10" s="1028">
        <f>IF(ISNUMBER(NºAsuntos!I10/NºAsuntos!G10),(NºAsuntos!I10/NºAsuntos!G10)*11," - ")</f>
        <v>10.463414634146341</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2</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5.4434389140271495</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131</v>
      </c>
      <c r="D13" s="1052">
        <f>SUBTOTAL(9,D9:D12)</f>
        <v>134</v>
      </c>
      <c r="E13" s="1053">
        <f>SUBTOTAL(9,E9:E12)</f>
        <v>269</v>
      </c>
      <c r="F13" s="1054">
        <f>SUBTOTAL(9,F9:F12)</f>
        <v>205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5</v>
      </c>
      <c r="B15" s="505" t="str">
        <f>Datos!A15</f>
        <v xml:space="preserve">Jdos. Instrucción                               </v>
      </c>
      <c r="C15" s="228">
        <f t="shared" ref="C15:C17" si="2">IF(ISNUMBER(H15-E15+F15),H15-E15+F15," - ")</f>
        <v>1910</v>
      </c>
      <c r="D15" s="228">
        <f>IF(ISNUMBER(IF(D_I="SI",Datos!I15,Datos!I15+Datos!AC15)),IF(D_I="SI",Datos!I15,Datos!I15+Datos!AC15)," - ")</f>
        <v>1832</v>
      </c>
      <c r="E15" s="229">
        <f>IF(ISNUMBER(IF(D_I="SI",Datos!J15,Datos!J15+Datos!AD15)),IF(D_I="SI",Datos!J15,Datos!J15+Datos!AD15)," - ")</f>
        <v>8870</v>
      </c>
      <c r="F15" s="229">
        <f>IF(ISNUMBER(IF(D_I="SI",Datos!K15,Datos!K15+Datos!AE15)),IF(D_I="SI",Datos!K15,Datos!K15+Datos!AE15)," - ")</f>
        <v>8303</v>
      </c>
      <c r="G15" s="1037" t="str">
        <f>IF(Datos!E15&lt;&gt;"",Datos!E15,Datos!D15)</f>
        <v>03</v>
      </c>
      <c r="H15" s="230">
        <f>IF(ISNUMBER(IF(D_I="SI",Datos!L15,Datos!L15+Datos!AF15)),IF(D_I="SI",Datos!L15,Datos!L15+Datos!AF15)," - ")</f>
        <v>2477</v>
      </c>
      <c r="I15" s="1047" t="str">
        <f>IF(ISNUMBER(Datos!AS15/Datos!BM15),Datos!AS15/Datos!BM15," - ")</f>
        <v xml:space="preserve"> - </v>
      </c>
      <c r="J15" s="1048">
        <f>IF(ISNUMBER(Datos!BY15/Datos!CN15),Datos!BY15/Datos!CN15," - ")</f>
        <v>0</v>
      </c>
      <c r="K15" s="233">
        <f t="shared" ref="K15:K17" si="3">IF(ISNUMBER((E15-F15)/C15),(E15-F15)/C15," - ")</f>
        <v>0.29685863874345547</v>
      </c>
      <c r="L15" s="1028">
        <f>IF(ISNUMBER(NºAsuntos!I15/NºAsuntos!G15),(NºAsuntos!I15/NºAsuntos!G15)*11," - ")</f>
        <v>3.2815849692882089</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277</v>
      </c>
      <c r="D17" s="228">
        <f>IF(ISNUMBER(IF(D_I="SI",Datos!I17,Datos!I17+Datos!AC17)),IF(D_I="SI",Datos!I17,Datos!I17+Datos!AC17)," - ")</f>
        <v>276</v>
      </c>
      <c r="E17" s="229">
        <f>IF(ISNUMBER(IF(D_I="SI",Datos!J17,Datos!J17+Datos!AD17)),IF(D_I="SI",Datos!J17,Datos!J17+Datos!AD17)," - ")</f>
        <v>1498</v>
      </c>
      <c r="F17" s="229">
        <f>IF(ISNUMBER(IF(D_I="SI",Datos!K17,Datos!K17+Datos!AE17)),IF(D_I="SI",Datos!K17,Datos!K17+Datos!AE17)," - ")</f>
        <v>1448</v>
      </c>
      <c r="G17" s="1037" t="str">
        <f>IF(Datos!E17&lt;&gt;"",Datos!E17,Datos!D17)</f>
        <v>37</v>
      </c>
      <c r="H17" s="230">
        <f>IF(ISNUMBER(IF(D_I="SI",Datos!L17,Datos!L17+Datos!AF17)),IF(D_I="SI",Datos!L17,Datos!L17+Datos!AF17)," - ")</f>
        <v>327</v>
      </c>
      <c r="I17" s="1047" t="str">
        <f>IF(ISNUMBER(Datos!AS17/Datos!BM17),Datos!AS17/Datos!BM17," - ")</f>
        <v xml:space="preserve"> - </v>
      </c>
      <c r="J17" s="1048" t="str">
        <f>IF(ISNUMBER((Datos!BY17+Datos!BZ17)/Datos!CN17),(Datos!BY17+Datos!BZ17)/Datos!CN17," - ")</f>
        <v xml:space="preserve"> - </v>
      </c>
      <c r="K17" s="233">
        <f t="shared" si="3"/>
        <v>0.18050541516245489</v>
      </c>
      <c r="L17" s="1028">
        <f>IF(ISNUMBER(NºAsuntos!I17/NºAsuntos!G17),(NºAsuntos!I17/NºAsuntos!G17)*11," - ")</f>
        <v>2.4841160220994474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2187</v>
      </c>
      <c r="D18" s="1052">
        <f>SUBTOTAL(9,D15:D17)</f>
        <v>2108</v>
      </c>
      <c r="E18" s="1053">
        <f>SUBTOTAL(9,E15:E17)</f>
        <v>10368</v>
      </c>
      <c r="F18" s="1053">
        <f>SUBTOTAL(9,F15:F17)</f>
        <v>9751</v>
      </c>
      <c r="G18" s="1055" t="str">
        <f ca="1">INDIRECT(CONCATENATE("G",ROW()-1))</f>
        <v>37</v>
      </c>
      <c r="H18" s="1056">
        <f ca="1">SUMIF(G$14:G17,G18,H$14:H17)</f>
        <v>327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2318</v>
      </c>
      <c r="D19" s="1074">
        <f>SUBTOTAL(9,D9:D18)</f>
        <v>2242</v>
      </c>
      <c r="E19" s="1075">
        <f>SUBTOTAL(9,E9:E18)</f>
        <v>10637</v>
      </c>
      <c r="F19" s="1075">
        <f>SUBTOTAL(9,F9:F18)</f>
        <v>9956</v>
      </c>
      <c r="G19" s="1076"/>
      <c r="H19" s="1077">
        <f ca="1">SUMIF(B9:B18,"TOTAL",H9:H18)</f>
        <v>327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GAkPBqNwgavH5I5ucMT+g6KSz4No6aZl37FuZ/At51Jv7je2D6q+YTFehQvsQ0eQr+UNr3Y0R9Wn41ei/xv4vQ==" saltValue="QKXM7z9sIM/k8BcqN+Saw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LsSpjhU/f/GUkMTBjXw3x0KERGCfNHVqEDLR6ABSRe4YnspjQjj5ONLzVcp6BZUooA9CgySu0k/VBCgbMRKI5g==" saltValue="zi/EnOEEc2UsD7vg3gicX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v>5828</v>
      </c>
      <c r="J9" s="184">
        <v>10437</v>
      </c>
      <c r="K9" s="184">
        <v>7769</v>
      </c>
      <c r="L9" s="184">
        <v>7703</v>
      </c>
      <c r="M9" s="184">
        <v>1675</v>
      </c>
      <c r="N9" s="184">
        <v>2689</v>
      </c>
      <c r="O9" s="184">
        <v>4210</v>
      </c>
      <c r="P9" s="184">
        <v>3030</v>
      </c>
      <c r="Q9" s="184">
        <v>4913</v>
      </c>
      <c r="R9" s="184">
        <v>10765</v>
      </c>
      <c r="S9" s="184">
        <v>4210</v>
      </c>
      <c r="T9" s="184">
        <v>9935</v>
      </c>
      <c r="U9" s="184">
        <v>8391</v>
      </c>
      <c r="V9" s="184">
        <v>5828</v>
      </c>
      <c r="W9" s="184">
        <v>1809</v>
      </c>
      <c r="X9" s="191">
        <v>3129</v>
      </c>
      <c r="Y9" s="194">
        <v>142</v>
      </c>
      <c r="Z9" s="184">
        <v>423</v>
      </c>
      <c r="AA9" s="184">
        <v>369</v>
      </c>
      <c r="AB9" s="184">
        <v>177</v>
      </c>
      <c r="AC9" s="184">
        <v>0</v>
      </c>
      <c r="AD9" s="184">
        <v>0</v>
      </c>
      <c r="AE9" s="184">
        <v>0</v>
      </c>
      <c r="AF9" s="191">
        <v>0</v>
      </c>
      <c r="AG9" s="194">
        <v>0</v>
      </c>
      <c r="AH9" s="184">
        <v>276</v>
      </c>
      <c r="AI9" s="184">
        <v>134</v>
      </c>
      <c r="AJ9" s="195">
        <v>142</v>
      </c>
      <c r="AK9" s="183">
        <v>0</v>
      </c>
      <c r="AL9" s="184">
        <v>0</v>
      </c>
      <c r="AM9" s="184">
        <v>0</v>
      </c>
      <c r="AN9" s="191">
        <v>0</v>
      </c>
      <c r="AO9" s="261">
        <v>6</v>
      </c>
      <c r="AP9" s="157">
        <v>6</v>
      </c>
      <c r="AQ9" s="157">
        <v>6</v>
      </c>
      <c r="AR9" s="196">
        <v>6</v>
      </c>
      <c r="AS9" s="341" t="s">
        <v>800</v>
      </c>
      <c r="AT9" s="198"/>
      <c r="AU9" s="197"/>
      <c r="AV9" s="198"/>
      <c r="AW9" s="197"/>
      <c r="AX9" s="198"/>
      <c r="AY9" s="123">
        <f>IF(ISNUMBER(IF(J_V="SI",S9,S9+AG9)),IF(J_V="SI",S9,S9+AG9)," - ")</f>
        <v>4210</v>
      </c>
      <c r="AZ9" s="123">
        <f>IF(ISNUMBER(IF(J_V="SI",T9,T9+AH9)),IF(J_V="SI",T9,T9+AH9)," - ")</f>
        <v>10211</v>
      </c>
      <c r="BA9" s="124">
        <f>IF(ISNUMBER(IF(J_V="SI",U9,U9+AI9)),IF(J_V="SI",U9,U9+AI9)," - ")</f>
        <v>8525</v>
      </c>
      <c r="BB9" s="124">
        <f>IF(ISNUMBER(IF(J_V="SI",V9,V9+AJ9)),IF(J_V="SI",V9,V9+AJ9)," - ")</f>
        <v>5970</v>
      </c>
      <c r="BC9" s="125">
        <f>IF(ISNUMBER(X9),X9," - ")</f>
        <v>3129</v>
      </c>
      <c r="BD9" s="126">
        <f>IF(ISNUMBER(BA9/AZ9),BA9/AZ9," - ")</f>
        <v>0.83488394868279303</v>
      </c>
      <c r="BE9" s="127">
        <f>IF(ISNUMBER(BB9/BA9),BB9/BA9, " - ")</f>
        <v>0.70029325513196483</v>
      </c>
      <c r="BF9" s="127">
        <f>IF(ISNUMBER(BC9/BA9),BC9/BA9, " - ")</f>
        <v>0.36703812316715545</v>
      </c>
      <c r="BG9" s="199">
        <f>IF(ISNUMBER((AY9+AZ9)/BA9),(AY9+AZ9)/BA9," - ")</f>
        <v>1.6916129032258065</v>
      </c>
      <c r="BH9" s="157">
        <v>6</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134</v>
      </c>
      <c r="J10" s="184">
        <v>269</v>
      </c>
      <c r="K10" s="184">
        <v>205</v>
      </c>
      <c r="L10" s="184">
        <v>195</v>
      </c>
      <c r="M10" s="184">
        <v>76</v>
      </c>
      <c r="N10" s="184">
        <v>84</v>
      </c>
      <c r="O10" s="184">
        <v>68</v>
      </c>
      <c r="P10" s="184">
        <v>60</v>
      </c>
      <c r="Q10" s="184">
        <v>103</v>
      </c>
      <c r="R10" s="184">
        <v>141</v>
      </c>
      <c r="S10" s="184">
        <v>145</v>
      </c>
      <c r="T10" s="184">
        <v>228</v>
      </c>
      <c r="U10" s="184">
        <v>234</v>
      </c>
      <c r="V10" s="184">
        <v>134</v>
      </c>
      <c r="W10" s="184">
        <v>94</v>
      </c>
      <c r="X10" s="191">
        <v>94</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794</v>
      </c>
      <c r="AT10" s="195"/>
      <c r="AU10" s="203"/>
      <c r="AV10" s="195"/>
      <c r="AW10" s="203"/>
      <c r="AX10" s="195"/>
      <c r="AY10" s="128">
        <f t="shared" ref="AY10:BC10" si="0">IF(ISNUMBER(S10),S10," - ")</f>
        <v>145</v>
      </c>
      <c r="AZ10" s="129">
        <f t="shared" si="0"/>
        <v>228</v>
      </c>
      <c r="BA10" s="129">
        <f t="shared" si="0"/>
        <v>234</v>
      </c>
      <c r="BB10" s="129">
        <f t="shared" si="0"/>
        <v>134</v>
      </c>
      <c r="BC10" s="125">
        <f t="shared" si="0"/>
        <v>94</v>
      </c>
      <c r="BD10" s="126">
        <f>IF(ISNUMBER(BA10/AZ10),BA10/AZ10," - ")</f>
        <v>1.0263157894736843</v>
      </c>
      <c r="BE10" s="127">
        <f>IF(ISNUMBER(BB10/BA10),BB10/BA10, " - ")</f>
        <v>0.57264957264957261</v>
      </c>
      <c r="BF10" s="127">
        <f>IF(ISNUMBER(BC10/BA10),BC10/BA10, " - ")</f>
        <v>0.40170940170940173</v>
      </c>
      <c r="BG10" s="199">
        <f>IF(ISNUMBER((AY10+AZ10)/BA10),(AY10+AZ10)/BA10," - ")</f>
        <v>1.5940170940170941</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v>939</v>
      </c>
      <c r="J11" s="186">
        <v>1977</v>
      </c>
      <c r="K11" s="186">
        <v>1804</v>
      </c>
      <c r="L11" s="186">
        <v>1112</v>
      </c>
      <c r="M11" s="186">
        <v>650</v>
      </c>
      <c r="N11" s="186">
        <v>1192</v>
      </c>
      <c r="O11" s="184">
        <v>885</v>
      </c>
      <c r="P11" s="186">
        <v>338</v>
      </c>
      <c r="Q11" s="186">
        <v>219</v>
      </c>
      <c r="R11" s="186">
        <v>908</v>
      </c>
      <c r="S11" s="186">
        <v>1155</v>
      </c>
      <c r="T11" s="186">
        <v>1558</v>
      </c>
      <c r="U11" s="186">
        <v>1774</v>
      </c>
      <c r="V11" s="186">
        <v>939</v>
      </c>
      <c r="W11" s="186">
        <v>769</v>
      </c>
      <c r="X11" s="192">
        <v>1063</v>
      </c>
      <c r="Y11" s="194">
        <v>164</v>
      </c>
      <c r="Z11" s="184">
        <v>554</v>
      </c>
      <c r="AA11" s="184">
        <v>627</v>
      </c>
      <c r="AB11" s="184">
        <v>91</v>
      </c>
      <c r="AC11" s="186">
        <v>0</v>
      </c>
      <c r="AD11" s="186">
        <v>0</v>
      </c>
      <c r="AE11" s="186">
        <v>0</v>
      </c>
      <c r="AF11" s="192">
        <v>0</v>
      </c>
      <c r="AG11" s="205">
        <v>449</v>
      </c>
      <c r="AH11" s="186">
        <v>699</v>
      </c>
      <c r="AI11" s="186">
        <v>984</v>
      </c>
      <c r="AJ11" s="206">
        <v>164</v>
      </c>
      <c r="AK11" s="185">
        <v>0</v>
      </c>
      <c r="AL11" s="186">
        <v>0</v>
      </c>
      <c r="AM11" s="186">
        <v>0</v>
      </c>
      <c r="AN11" s="192">
        <v>0</v>
      </c>
      <c r="AO11" s="262">
        <v>2</v>
      </c>
      <c r="AP11" s="158">
        <v>2</v>
      </c>
      <c r="AQ11" s="158">
        <v>2</v>
      </c>
      <c r="AR11" s="157">
        <v>2</v>
      </c>
      <c r="AS11" s="343" t="s">
        <v>802</v>
      </c>
      <c r="AT11" s="206"/>
      <c r="AU11" s="205"/>
      <c r="AV11" s="206"/>
      <c r="AW11" s="205"/>
      <c r="AX11" s="206"/>
      <c r="AY11" s="126">
        <f t="shared" ref="AY11:BB12" si="1">IF(ISNUMBER(IF(J_V="SI",S11,S11+AG11)),IF(J_V="SI",S11,S11+AG11)," - ")</f>
        <v>1604</v>
      </c>
      <c r="AZ11" s="127">
        <f t="shared" si="1"/>
        <v>2257</v>
      </c>
      <c r="BA11" s="127">
        <f t="shared" si="1"/>
        <v>2758</v>
      </c>
      <c r="BB11" s="127">
        <f t="shared" si="1"/>
        <v>1103</v>
      </c>
      <c r="BC11" s="125">
        <f>IF(ISNUMBER(X11),X11," - ")</f>
        <v>1063</v>
      </c>
      <c r="BD11" s="126">
        <f t="shared" ref="BD11:BD12" si="2">IF(ISNUMBER(BA11/AZ11),BA11/AZ11," - ")</f>
        <v>1.2219760744350909</v>
      </c>
      <c r="BE11" s="127">
        <f t="shared" ref="BE11:BE12" si="3">IF(ISNUMBER(BB11/BA11),BB11/BA11, " - ")</f>
        <v>0.39992748368382885</v>
      </c>
      <c r="BF11" s="127">
        <f t="shared" ref="BF11:BF12" si="4">IF(ISNUMBER(BC11/BA11),BC11/BA11, " - ")</f>
        <v>0.38542422044960117</v>
      </c>
      <c r="BG11" s="199">
        <f t="shared" ref="BG11:BG12" si="5">IF(ISNUMBER((AY11+AZ11)/BA11),(AY11+AZ11)/BA11," - ")</f>
        <v>1.3999274836838289</v>
      </c>
      <c r="BH11" s="158">
        <v>1</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t="s">
        <v>807</v>
      </c>
      <c r="J12" s="186" t="s">
        <v>801</v>
      </c>
      <c r="K12" s="186" t="s">
        <v>852</v>
      </c>
      <c r="L12" s="186" t="s">
        <v>812</v>
      </c>
      <c r="M12" s="186" t="s">
        <v>490</v>
      </c>
      <c r="N12" s="186" t="s">
        <v>505</v>
      </c>
      <c r="O12" s="184" t="s">
        <v>224</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803</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6901</v>
      </c>
      <c r="J13" s="187">
        <f t="shared" si="6"/>
        <v>12683</v>
      </c>
      <c r="K13" s="187">
        <f t="shared" si="6"/>
        <v>9778</v>
      </c>
      <c r="L13" s="187">
        <f t="shared" si="6"/>
        <v>9010</v>
      </c>
      <c r="M13" s="187">
        <f t="shared" si="6"/>
        <v>2401</v>
      </c>
      <c r="N13" s="187">
        <f t="shared" si="6"/>
        <v>3965</v>
      </c>
      <c r="O13" s="187">
        <f t="shared" si="6"/>
        <v>5163</v>
      </c>
      <c r="P13" s="187">
        <f t="shared" si="6"/>
        <v>3428</v>
      </c>
      <c r="Q13" s="187">
        <f t="shared" si="6"/>
        <v>5235</v>
      </c>
      <c r="R13" s="187">
        <f t="shared" si="6"/>
        <v>11814</v>
      </c>
      <c r="S13" s="187">
        <f t="shared" si="6"/>
        <v>5510</v>
      </c>
      <c r="T13" s="187">
        <f t="shared" si="6"/>
        <v>11721</v>
      </c>
      <c r="U13" s="187">
        <f t="shared" si="6"/>
        <v>10399</v>
      </c>
      <c r="V13" s="187">
        <f t="shared" si="6"/>
        <v>6901</v>
      </c>
      <c r="W13" s="187">
        <f t="shared" si="6"/>
        <v>2672</v>
      </c>
      <c r="X13" s="187">
        <f t="shared" si="6"/>
        <v>4286</v>
      </c>
      <c r="Y13" s="187">
        <f t="shared" si="6"/>
        <v>306</v>
      </c>
      <c r="Z13" s="187">
        <f t="shared" si="6"/>
        <v>977</v>
      </c>
      <c r="AA13" s="187">
        <f t="shared" si="6"/>
        <v>996</v>
      </c>
      <c r="AB13" s="187">
        <f t="shared" si="6"/>
        <v>268</v>
      </c>
      <c r="AC13" s="187">
        <f t="shared" si="6"/>
        <v>0</v>
      </c>
      <c r="AD13" s="187">
        <f t="shared" si="6"/>
        <v>0</v>
      </c>
      <c r="AE13" s="187">
        <f t="shared" si="6"/>
        <v>0</v>
      </c>
      <c r="AF13" s="187">
        <f>SUBTOTAL(9,AF9:AF12)</f>
        <v>0</v>
      </c>
      <c r="AG13" s="187">
        <f t="shared" ref="AG13:AT13" si="7">SUBTOTAL(9,AG8:AG12)</f>
        <v>449</v>
      </c>
      <c r="AH13" s="187">
        <f t="shared" si="7"/>
        <v>975</v>
      </c>
      <c r="AI13" s="187">
        <f t="shared" si="7"/>
        <v>1118</v>
      </c>
      <c r="AJ13" s="187">
        <f t="shared" si="7"/>
        <v>306</v>
      </c>
      <c r="AK13" s="187">
        <f t="shared" si="7"/>
        <v>0</v>
      </c>
      <c r="AL13" s="187">
        <f t="shared" si="7"/>
        <v>0</v>
      </c>
      <c r="AM13" s="187">
        <f t="shared" si="7"/>
        <v>0</v>
      </c>
      <c r="AN13" s="187">
        <f t="shared" si="7"/>
        <v>0</v>
      </c>
      <c r="AO13" s="187">
        <f t="shared" si="7"/>
        <v>9</v>
      </c>
      <c r="AP13" s="187">
        <f t="shared" si="7"/>
        <v>9</v>
      </c>
      <c r="AQ13" s="187">
        <f t="shared" si="7"/>
        <v>9</v>
      </c>
      <c r="AR13" s="187">
        <f t="shared" si="7"/>
        <v>9</v>
      </c>
      <c r="AS13" s="187">
        <f t="shared" si="7"/>
        <v>0</v>
      </c>
      <c r="AT13" s="187">
        <f t="shared" si="7"/>
        <v>0</v>
      </c>
      <c r="AU13" s="207"/>
      <c r="AV13" s="132"/>
      <c r="AW13" s="207"/>
      <c r="AX13" s="132"/>
      <c r="AY13" s="187">
        <f>SUBTOTAL(9,AY8:AY12)</f>
        <v>5959</v>
      </c>
      <c r="AZ13" s="187">
        <f>SUBTOTAL(9,AZ8:AZ12)</f>
        <v>12696</v>
      </c>
      <c r="BA13" s="187">
        <f>SUBTOTAL(9,BA8:BA12)</f>
        <v>11517</v>
      </c>
      <c r="BB13" s="187">
        <f>SUBTOTAL(9,BB8:BB12)</f>
        <v>7207</v>
      </c>
      <c r="BC13" s="187">
        <f>SUBTOTAL(9,BC8:BC12)</f>
        <v>4286</v>
      </c>
      <c r="BD13" s="208">
        <f>IF(ISNUMBER(BA13/AZ13),BA13/AZ13," - ")</f>
        <v>0.9071361058601134</v>
      </c>
      <c r="BE13" s="209">
        <f>IF(ISNUMBER(BB13/BA13),BB13/BA13, " - ")</f>
        <v>0.6257705999826344</v>
      </c>
      <c r="BF13" s="209">
        <f>IF(ISNUMBER(BC13/BA13),BC13/BA13, " - ")</f>
        <v>0.37214552400798817</v>
      </c>
      <c r="BG13" s="210">
        <f>IF(ISNUMBER((AY13+AZ13)/BA13),(AY13+AZ13)/BA13," - ")</f>
        <v>1.6197794564556742</v>
      </c>
      <c r="BH13" s="143">
        <f>SUBTOTAL(9,BH8:BH12)</f>
        <v>8</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1832</v>
      </c>
      <c r="J15" s="186">
        <v>8870</v>
      </c>
      <c r="K15" s="186">
        <v>8303</v>
      </c>
      <c r="L15" s="186">
        <v>2477</v>
      </c>
      <c r="M15" s="186">
        <v>1726</v>
      </c>
      <c r="N15" s="186">
        <v>4075</v>
      </c>
      <c r="O15" s="184">
        <v>492</v>
      </c>
      <c r="P15" s="186">
        <v>760</v>
      </c>
      <c r="Q15" s="186">
        <v>746</v>
      </c>
      <c r="R15" s="186">
        <v>464</v>
      </c>
      <c r="S15" s="186">
        <v>1758</v>
      </c>
      <c r="T15" s="186">
        <v>9491</v>
      </c>
      <c r="U15" s="186">
        <v>9552</v>
      </c>
      <c r="V15" s="186">
        <v>1832</v>
      </c>
      <c r="W15" s="186">
        <v>1895</v>
      </c>
      <c r="X15" s="192">
        <v>4715</v>
      </c>
      <c r="Y15" s="205">
        <v>0</v>
      </c>
      <c r="Z15" s="186">
        <v>0</v>
      </c>
      <c r="AA15" s="186">
        <v>0</v>
      </c>
      <c r="AB15" s="186">
        <v>0</v>
      </c>
      <c r="AC15" s="186">
        <v>15</v>
      </c>
      <c r="AD15" s="186">
        <v>57</v>
      </c>
      <c r="AE15" s="186">
        <v>70</v>
      </c>
      <c r="AF15" s="192">
        <v>2</v>
      </c>
      <c r="AG15" s="205">
        <v>0</v>
      </c>
      <c r="AH15" s="186">
        <v>0</v>
      </c>
      <c r="AI15" s="186">
        <v>0</v>
      </c>
      <c r="AJ15" s="206">
        <v>0</v>
      </c>
      <c r="AK15" s="185">
        <v>9</v>
      </c>
      <c r="AL15" s="186">
        <v>134</v>
      </c>
      <c r="AM15" s="186">
        <v>128</v>
      </c>
      <c r="AN15" s="192">
        <v>15</v>
      </c>
      <c r="AO15" s="262">
        <v>5</v>
      </c>
      <c r="AP15" s="158">
        <v>5</v>
      </c>
      <c r="AQ15" s="158">
        <v>5</v>
      </c>
      <c r="AR15" s="158">
        <v>5</v>
      </c>
      <c r="AS15" s="343" t="s">
        <v>527</v>
      </c>
      <c r="AT15" s="206" t="s">
        <v>326</v>
      </c>
      <c r="AU15" s="205"/>
      <c r="AV15" s="206"/>
      <c r="AW15" s="205"/>
      <c r="AX15" s="206"/>
      <c r="AY15" s="128">
        <f t="shared" ref="AY15:BB16" si="9">IF(ISNUMBER(IF(D_I="SI",S15,S15+AK15)),IF(D_I="SI",S15,S15+AK15)," - ")</f>
        <v>1758</v>
      </c>
      <c r="AZ15" s="129">
        <f t="shared" si="9"/>
        <v>9491</v>
      </c>
      <c r="BA15" s="129">
        <f t="shared" si="9"/>
        <v>9552</v>
      </c>
      <c r="BB15" s="129">
        <f t="shared" si="9"/>
        <v>1832</v>
      </c>
      <c r="BC15" s="125">
        <f>IF(ISNUMBER(W15),W15," - ")</f>
        <v>1895</v>
      </c>
      <c r="BD15" s="126">
        <f>IF(ISNUMBER(BA15/AZ15),BA15/AZ15," - ")</f>
        <v>1.0064271415024759</v>
      </c>
      <c r="BE15" s="127">
        <f>IF(ISNUMBER(BB15/BA15),BB15/BA15, " - ")</f>
        <v>0.19179229480737017</v>
      </c>
      <c r="BF15" s="127">
        <f>IF(ISNUMBER(BC15/BA15),BC15/BA15, " - ")</f>
        <v>0.19838777219430487</v>
      </c>
      <c r="BG15" s="199">
        <f t="shared" ref="BG15:BG16" si="10">IF(ISNUMBER((AY15+AZ15)/BA15),(AY15+AZ15)/BA15," - ")</f>
        <v>1.1776591289782246</v>
      </c>
      <c r="BH15" s="158">
        <v>5</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t="s">
        <v>488</v>
      </c>
      <c r="J16" s="186" t="s">
        <v>484</v>
      </c>
      <c r="K16" s="186" t="s">
        <v>485</v>
      </c>
      <c r="L16" s="186" t="s">
        <v>486</v>
      </c>
      <c r="M16" s="186" t="s">
        <v>491</v>
      </c>
      <c r="N16" s="186" t="s">
        <v>150</v>
      </c>
      <c r="O16" s="184" t="s">
        <v>225</v>
      </c>
      <c r="P16" s="186" t="s">
        <v>470</v>
      </c>
      <c r="Q16" s="186" t="s">
        <v>471</v>
      </c>
      <c r="R16" s="186" t="s">
        <v>472</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487</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276</v>
      </c>
      <c r="J17" s="186">
        <v>1498</v>
      </c>
      <c r="K17" s="186">
        <v>1448</v>
      </c>
      <c r="L17" s="186">
        <v>327</v>
      </c>
      <c r="M17" s="186">
        <v>139</v>
      </c>
      <c r="N17" s="186">
        <v>781</v>
      </c>
      <c r="O17" s="186">
        <v>17</v>
      </c>
      <c r="P17" s="186">
        <v>24</v>
      </c>
      <c r="Q17" s="186">
        <v>18</v>
      </c>
      <c r="R17" s="186">
        <v>16</v>
      </c>
      <c r="S17" s="186">
        <v>337</v>
      </c>
      <c r="T17" s="186">
        <v>1374</v>
      </c>
      <c r="U17" s="186">
        <v>1439</v>
      </c>
      <c r="V17" s="186">
        <v>276</v>
      </c>
      <c r="W17" s="186">
        <v>105</v>
      </c>
      <c r="X17" s="192">
        <v>766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793</v>
      </c>
      <c r="AT17" s="212"/>
      <c r="AU17" s="203"/>
      <c r="AV17" s="212"/>
      <c r="AW17" s="203"/>
      <c r="AX17" s="212"/>
      <c r="AY17" s="128">
        <f t="shared" ref="AY17:BB17" si="14">IF(ISNUMBER(S17),S17," - ")</f>
        <v>337</v>
      </c>
      <c r="AZ17" s="129">
        <f t="shared" si="14"/>
        <v>1374</v>
      </c>
      <c r="BA17" s="129">
        <f t="shared" si="14"/>
        <v>1439</v>
      </c>
      <c r="BB17" s="129">
        <f t="shared" si="14"/>
        <v>276</v>
      </c>
      <c r="BC17" s="125">
        <f>IF(ISNUMBER(W17),W17," - ")</f>
        <v>105</v>
      </c>
      <c r="BD17" s="126">
        <f>IF(ISNUMBER(BA17/AZ17),BA17/AZ17," - ")</f>
        <v>1.047307132459971</v>
      </c>
      <c r="BE17" s="127">
        <f>IF(ISNUMBER(BB17/BA17),BB17/BA17, " - ")</f>
        <v>0.19179986101459348</v>
      </c>
      <c r="BF17" s="127">
        <f>IF(ISNUMBER(BC17/BA17),BC17/BA17, " - ")</f>
        <v>7.2967338429464901E-2</v>
      </c>
      <c r="BG17" s="199">
        <f>IF(ISNUMBER((AY17+AZ17)/BA17),(AY17+AZ17)/BA17," - ")</f>
        <v>1.1890201528839472</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2108</v>
      </c>
      <c r="J18" s="187">
        <f t="shared" si="15"/>
        <v>10368</v>
      </c>
      <c r="K18" s="187">
        <f t="shared" si="15"/>
        <v>9751</v>
      </c>
      <c r="L18" s="187">
        <f t="shared" si="15"/>
        <v>2804</v>
      </c>
      <c r="M18" s="187">
        <f t="shared" si="15"/>
        <v>1865</v>
      </c>
      <c r="N18" s="187">
        <f t="shared" si="15"/>
        <v>4856</v>
      </c>
      <c r="O18" s="187">
        <f t="shared" si="15"/>
        <v>509</v>
      </c>
      <c r="P18" s="187">
        <f t="shared" si="15"/>
        <v>784</v>
      </c>
      <c r="Q18" s="187">
        <f t="shared" si="15"/>
        <v>764</v>
      </c>
      <c r="R18" s="187">
        <f t="shared" si="15"/>
        <v>480</v>
      </c>
      <c r="S18" s="187">
        <f t="shared" si="15"/>
        <v>2095</v>
      </c>
      <c r="T18" s="187">
        <f t="shared" si="15"/>
        <v>10865</v>
      </c>
      <c r="U18" s="187">
        <f t="shared" si="15"/>
        <v>10991</v>
      </c>
      <c r="V18" s="187">
        <f t="shared" si="15"/>
        <v>2108</v>
      </c>
      <c r="W18" s="187">
        <f t="shared" si="15"/>
        <v>2000</v>
      </c>
      <c r="X18" s="187">
        <f t="shared" si="15"/>
        <v>5481</v>
      </c>
      <c r="Y18" s="187">
        <f t="shared" si="15"/>
        <v>0</v>
      </c>
      <c r="Z18" s="187">
        <f t="shared" si="15"/>
        <v>0</v>
      </c>
      <c r="AA18" s="187">
        <f t="shared" si="15"/>
        <v>0</v>
      </c>
      <c r="AB18" s="187">
        <f t="shared" si="15"/>
        <v>0</v>
      </c>
      <c r="AC18" s="187">
        <f t="shared" si="15"/>
        <v>15</v>
      </c>
      <c r="AD18" s="187">
        <f t="shared" si="15"/>
        <v>57</v>
      </c>
      <c r="AE18" s="187">
        <f t="shared" si="15"/>
        <v>70</v>
      </c>
      <c r="AF18" s="187">
        <f t="shared" si="15"/>
        <v>2</v>
      </c>
      <c r="AG18" s="187">
        <f t="shared" si="15"/>
        <v>0</v>
      </c>
      <c r="AH18" s="187">
        <f t="shared" si="15"/>
        <v>0</v>
      </c>
      <c r="AI18" s="187">
        <f t="shared" si="15"/>
        <v>0</v>
      </c>
      <c r="AJ18" s="187">
        <f t="shared" si="15"/>
        <v>0</v>
      </c>
      <c r="AK18" s="187">
        <f t="shared" si="15"/>
        <v>9</v>
      </c>
      <c r="AL18" s="187">
        <f t="shared" si="15"/>
        <v>134</v>
      </c>
      <c r="AM18" s="187">
        <f t="shared" si="15"/>
        <v>128</v>
      </c>
      <c r="AN18" s="187">
        <f t="shared" si="15"/>
        <v>15</v>
      </c>
      <c r="AO18" s="187">
        <f t="shared" si="15"/>
        <v>6</v>
      </c>
      <c r="AP18" s="187">
        <f t="shared" si="15"/>
        <v>6</v>
      </c>
      <c r="AQ18" s="187">
        <f t="shared" si="15"/>
        <v>6</v>
      </c>
      <c r="AR18" s="187">
        <f t="shared" si="15"/>
        <v>6</v>
      </c>
      <c r="AS18" s="187">
        <f t="shared" si="15"/>
        <v>0</v>
      </c>
      <c r="AT18" s="187">
        <f t="shared" si="15"/>
        <v>0</v>
      </c>
      <c r="AU18" s="207"/>
      <c r="AV18" s="132"/>
      <c r="AW18" s="207"/>
      <c r="AX18" s="132"/>
      <c r="AY18" s="187">
        <f>SUBTOTAL(9,AY14:AY17)</f>
        <v>2095</v>
      </c>
      <c r="AZ18" s="187">
        <f>SUBTOTAL(9,AZ14:AZ17)</f>
        <v>10865</v>
      </c>
      <c r="BA18" s="187">
        <f>SUBTOTAL(9,BA14:BA17)</f>
        <v>10991</v>
      </c>
      <c r="BB18" s="187">
        <f>SUBTOTAL(9,BB14:BB17)</f>
        <v>2108</v>
      </c>
      <c r="BC18" s="187">
        <f>SUBTOTAL(9,BC14:BC17)</f>
        <v>2000</v>
      </c>
      <c r="BD18" s="208">
        <f>IF(ISNUMBER(BA18/AZ18),BA18/AZ18," - ")</f>
        <v>1.0115968706856879</v>
      </c>
      <c r="BE18" s="209">
        <f>IF(ISNUMBER(BB18/BA18),BB18/BA18, " - ")</f>
        <v>0.19179328541533983</v>
      </c>
      <c r="BF18" s="209">
        <f>IF(ISNUMBER(BC18/BA18),BC18/BA18, " - ")</f>
        <v>0.18196706396142298</v>
      </c>
      <c r="BG18" s="210">
        <f>IF(ISNUMBER((AY18+AZ18)/BA18),(AY18+AZ18)/BA18," - ")</f>
        <v>1.1791465744700209</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9009</v>
      </c>
      <c r="J19" s="134">
        <f t="shared" si="18"/>
        <v>23051</v>
      </c>
      <c r="K19" s="134">
        <f t="shared" si="18"/>
        <v>19529</v>
      </c>
      <c r="L19" s="134">
        <f t="shared" si="18"/>
        <v>11814</v>
      </c>
      <c r="M19" s="134">
        <f t="shared" si="18"/>
        <v>4266</v>
      </c>
      <c r="N19" s="134">
        <f t="shared" si="18"/>
        <v>8821</v>
      </c>
      <c r="O19" s="134">
        <f t="shared" si="18"/>
        <v>5672</v>
      </c>
      <c r="P19" s="134">
        <f t="shared" si="18"/>
        <v>4212</v>
      </c>
      <c r="Q19" s="134">
        <f t="shared" si="18"/>
        <v>5999</v>
      </c>
      <c r="R19" s="134">
        <f t="shared" si="18"/>
        <v>12294</v>
      </c>
      <c r="S19" s="134">
        <f t="shared" si="18"/>
        <v>7605</v>
      </c>
      <c r="T19" s="134">
        <f t="shared" si="18"/>
        <v>22586</v>
      </c>
      <c r="U19" s="134">
        <f t="shared" si="18"/>
        <v>21390</v>
      </c>
      <c r="V19" s="134">
        <f t="shared" si="18"/>
        <v>9009</v>
      </c>
      <c r="W19" s="134">
        <f t="shared" si="18"/>
        <v>4672</v>
      </c>
      <c r="X19" s="134">
        <f t="shared" si="18"/>
        <v>9767</v>
      </c>
      <c r="Y19" s="134">
        <f t="shared" si="18"/>
        <v>306</v>
      </c>
      <c r="Z19" s="134">
        <f t="shared" si="18"/>
        <v>977</v>
      </c>
      <c r="AA19" s="134">
        <f t="shared" si="18"/>
        <v>996</v>
      </c>
      <c r="AB19" s="134">
        <f t="shared" si="18"/>
        <v>268</v>
      </c>
      <c r="AC19" s="134">
        <f t="shared" si="18"/>
        <v>15</v>
      </c>
      <c r="AD19" s="134">
        <f t="shared" si="18"/>
        <v>57</v>
      </c>
      <c r="AE19" s="134">
        <f t="shared" si="18"/>
        <v>70</v>
      </c>
      <c r="AF19" s="134">
        <f t="shared" si="18"/>
        <v>2</v>
      </c>
      <c r="AG19" s="134">
        <f t="shared" si="18"/>
        <v>449</v>
      </c>
      <c r="AH19" s="134">
        <f t="shared" si="18"/>
        <v>975</v>
      </c>
      <c r="AI19" s="134">
        <f t="shared" si="18"/>
        <v>1118</v>
      </c>
      <c r="AJ19" s="134">
        <f t="shared" si="18"/>
        <v>306</v>
      </c>
      <c r="AK19" s="134">
        <f t="shared" si="18"/>
        <v>9</v>
      </c>
      <c r="AL19" s="134">
        <f t="shared" si="18"/>
        <v>134</v>
      </c>
      <c r="AM19" s="134">
        <f t="shared" si="18"/>
        <v>128</v>
      </c>
      <c r="AN19" s="213">
        <f t="shared" si="18"/>
        <v>15</v>
      </c>
      <c r="AO19" s="214">
        <v>14</v>
      </c>
      <c r="AP19" s="214">
        <v>14</v>
      </c>
      <c r="AQ19" s="214">
        <v>14</v>
      </c>
      <c r="AR19" s="214">
        <v>14</v>
      </c>
      <c r="AS19" s="156">
        <f t="shared" si="18"/>
        <v>0</v>
      </c>
      <c r="AT19" s="156">
        <f t="shared" si="18"/>
        <v>0</v>
      </c>
      <c r="AU19" s="214"/>
      <c r="AV19" s="215"/>
      <c r="AW19" s="214"/>
      <c r="AX19" s="215"/>
      <c r="AY19" s="133">
        <f>SUBTOTAL(9,AY9:AY18)</f>
        <v>8054</v>
      </c>
      <c r="AZ19" s="134">
        <f>SUBTOTAL(9,AZ9:AZ18)</f>
        <v>23561</v>
      </c>
      <c r="BA19" s="134">
        <f>SUBTOTAL(9,BA9:BA18)</f>
        <v>22508</v>
      </c>
      <c r="BB19" s="134">
        <f>SUBTOTAL(9,BB9:BB18)</f>
        <v>9315</v>
      </c>
      <c r="BC19" s="135">
        <f>SUBTOTAL(9,BC9:BC18)</f>
        <v>6286</v>
      </c>
      <c r="BD19" s="216">
        <f>IF(ISNUMBER(BA19/AZ19),BA19/AZ19," - ")</f>
        <v>0.95530749968167739</v>
      </c>
      <c r="BE19" s="213">
        <f>IF(ISNUMBER(BB19/BA19),BB19/BA19, " - ")</f>
        <v>0.4138528523191754</v>
      </c>
      <c r="BF19" s="213">
        <f>IF(ISNUMBER(BC19/BA19),BC19/BA19, " - ")</f>
        <v>0.27927847876310646</v>
      </c>
      <c r="BG19" s="135">
        <f>IF(ISNUMBER((AY19+AZ19)/BA19),(AY19+AZ19)/BA19," - ")</f>
        <v>1.4046116936200461</v>
      </c>
      <c r="BH19" s="214">
        <f>SUBTOTAL(9,BH9:BH18)</f>
        <v>14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QYCTzKEXAw62/BzVlPicuelMLKc6Q+9v6e26U9175akXthVJTGMfpuUn4P0E7rG60Pnyfq9iLJKF/qlH4V33g==" saltValue="UKAs6eeoHUpHCUIFpepTx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lpWX6C90/stUQUckOpOFQpG0u4FzmQ73VGvIV/d+MbRuexAWuEwvSzUfhkIwBrVacSwQm6cRAGBrf0/vt4vvw==" saltValue="zlrRszyOvmCFyUfsZKgvu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CADIZ  Resumenes por Partidos Judiciales  JEREZ DE LA FRONTERA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6</v>
      </c>
      <c r="B9" s="504" t="s">
        <v>246</v>
      </c>
      <c r="C9" s="163" t="str">
        <f>Datos!A9</f>
        <v xml:space="preserve">Jdos. 1ª Instancia   </v>
      </c>
      <c r="D9" s="505"/>
      <c r="E9" s="263">
        <f>IF(ISNUMBER(Datos!AQ9),Datos!AQ9," - ")</f>
        <v>6</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423</v>
      </c>
      <c r="O9" s="337"/>
      <c r="P9" s="337"/>
      <c r="Q9" s="229">
        <f>IF(ISNUMBER(Datos!P9),Datos!P9,0)</f>
        <v>3030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4913</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177</v>
      </c>
      <c r="AI9" s="337" t="str">
        <f>IF(ISNUMBER(Datos!CD9),Datos!CD9,"-")</f>
        <v>-</v>
      </c>
      <c r="AJ9" s="337" t="str">
        <f>IF(ISNUMBER(Datos!EN9),Datos!EN9," - ")</f>
        <v xml:space="preserve"> - </v>
      </c>
      <c r="AK9" s="337"/>
      <c r="AL9" s="482"/>
      <c r="AM9" s="338">
        <f>IF(ISNUMBER(Datos!R9),Datos!R9," - ")</f>
        <v>10765</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1675</v>
      </c>
      <c r="BD9" s="232">
        <f>IF(ISNUMBER(Datos!N9),Datos!N9," - ")</f>
        <v>2689</v>
      </c>
      <c r="BE9" s="232" t="str">
        <f>IF(ISNUMBER(Datos!BW9),Datos!BW9," - ")</f>
        <v xml:space="preserve"> - </v>
      </c>
      <c r="BF9" s="231" t="str">
        <f>IF(ISNUMBER(Datos!BX9),Datos!BX9," - ")</f>
        <v xml:space="preserve"> - </v>
      </c>
      <c r="BG9" s="246">
        <f>IF(ISNUMBER(IF(J_V="SI",Datos!K9/Datos!J9,(Datos!K9+Datos!AA9)/(Datos!J9+Datos!Z9))),IF(J_V="SI",Datos!K9/Datos!J9,(Datos!K9+Datos!AA9)/(Datos!J9+Datos!Z9))," - ")</f>
        <v>0.74935543278084715</v>
      </c>
      <c r="BH9" s="263">
        <f>IF(ISNUMBER(((IF(J_V="SI",Datos!L9/Datos!K9,(Datos!L9+Datos!AB9)/(Datos!K9+Datos!AA9)))*11)/factor_trimestre),((IF(J_V="SI",Datos!L9/Datos!K9,(Datos!L9+Datos!AB9)/(Datos!K9+Datos!AA9)))*11)/factor_trimestre," - ")</f>
        <v>10.651265667240107</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-0.14887729285262491</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1</v>
      </c>
      <c r="F10" s="228">
        <f>IF(ISNUMBER(Datos!L10+Datos!K10-Datos!J10),Datos!L10+Datos!K10-Datos!J10," - ")</f>
        <v>131</v>
      </c>
      <c r="G10" s="336">
        <f>IF(ISNUMBER(Datos!I10),Datos!I10," - ")</f>
        <v>134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60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205</v>
      </c>
      <c r="AC10" s="229">
        <f>IF(ISNUMBER(Datos!Q10),Datos!Q10," - ")</f>
        <v>103</v>
      </c>
      <c r="AD10" s="337"/>
      <c r="AE10" s="487"/>
      <c r="AF10" s="335">
        <f>IF(ISNUMBER(Datos!L10),Datos!L10,"-")</f>
        <v>195</v>
      </c>
      <c r="AG10" s="337"/>
      <c r="AH10" s="337"/>
      <c r="AI10" s="337"/>
      <c r="AJ10" s="337"/>
      <c r="AK10" s="337"/>
      <c r="AL10" s="482"/>
      <c r="AM10" s="338">
        <f>IF(ISNUMBER(Datos!R10),Datos!R10," - ")</f>
        <v>141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76</v>
      </c>
      <c r="BD10" s="232">
        <f>IF(ISNUMBER(Datos!N10),Datos!N10," - ")</f>
        <v>84</v>
      </c>
      <c r="BE10" s="232" t="str">
        <f>IF(ISNUMBER(Datos!BW10),Datos!BW10," - ")</f>
        <v xml:space="preserve"> - </v>
      </c>
      <c r="BF10" s="231" t="str">
        <f>IF(ISNUMBER(Datos!BX10),Datos!BX10," - ")</f>
        <v xml:space="preserve"> - </v>
      </c>
      <c r="BG10" s="246">
        <f>IF(ISNUMBER(Datos!K10/Datos!J10),Datos!K10/Datos!J10," - ")</f>
        <v>0.76208178438661711</v>
      </c>
      <c r="BH10" s="263">
        <f>IF(ISNUMBER(((Datos!L10/Datos!K10)*11)/factor_trimestre),((Datos!L10/Datos!K10)*11)/factor_trimestre," - ")</f>
        <v>10.463414634146341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-0.23369565217391305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2</v>
      </c>
      <c r="B11" s="510" t="s">
        <v>246</v>
      </c>
      <c r="C11" s="7" t="str">
        <f>Datos!A11</f>
        <v xml:space="preserve">Jdos. Familia                                   </v>
      </c>
      <c r="D11" s="511"/>
      <c r="E11" s="263">
        <f>IF(ISNUMBER(Datos!AQ11),Datos!AQ11," - ")</f>
        <v>2</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554</v>
      </c>
      <c r="O11" s="337"/>
      <c r="P11" s="337"/>
      <c r="Q11" s="229">
        <f>IF(ISNUMBER(Datos!P11),Datos!P11,0)</f>
        <v>338</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219</v>
      </c>
      <c r="AD11" s="337"/>
      <c r="AE11" s="487"/>
      <c r="AF11" s="335" t="str">
        <f>IF(ISNUMBER(IF(J_V="SI",Datos!L11,Datos!L11+Datos!AB11)-IF(Monitorios="SI",Datos!CD11,0)),
                          IF(J_V="SI",Datos!L11,Datos!L11+Datos!AB11)-IF(Monitorios="SI",Datos!CD11,0),
                          " - ")</f>
        <v xml:space="preserve"> - </v>
      </c>
      <c r="AG11" s="337"/>
      <c r="AH11" s="337">
        <f>IF(ISNUMBER(Datos!AB11),Datos!AB11,"-")</f>
        <v>91</v>
      </c>
      <c r="AI11" s="337"/>
      <c r="AJ11" s="337"/>
      <c r="AK11" s="337"/>
      <c r="AL11" s="482"/>
      <c r="AM11" s="338">
        <f>IF(ISNUMBER(Datos!R11),Datos!R11," - ")</f>
        <v>908</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650</v>
      </c>
      <c r="BD11" s="232">
        <f>IF(ISNUMBER(Datos!N11),Datos!N11," - ")</f>
        <v>1192</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0.96048992493085739</v>
      </c>
      <c r="BH11" s="263">
        <f>IF(ISNUMBER(((IF(J_V="SI",Datos!L11/Datos!K11,(Datos!L11+Datos!AB11)/(Datos!K11+Datos!AA11)))*11)/factor_trimestre),((IF(J_V="SI",Datos!L11/Datos!K11,(Datos!L11+Datos!AB11)/(Datos!K11+Datos!AA11)))*11)/factor_trimestre," - ")</f>
        <v>5.4434389140271495</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f>IF(ISNUMBER((Datos!P11-Datos!Q11+Datos!DE11)/(Datos!R11-Datos!P11+Datos!Q11-Datos!DE11)),(Datos!P11-Datos!Q11+Datos!DE11)/(Datos!R11-Datos!P11+Datos!Q11-Datos!DE11)," - ")</f>
        <v>0.15082382762991128</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246</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9</v>
      </c>
      <c r="F13" s="901">
        <f t="shared" si="0"/>
        <v>131</v>
      </c>
      <c r="G13" s="901">
        <f t="shared" si="0"/>
        <v>134</v>
      </c>
      <c r="H13" s="902">
        <f t="shared" si="0"/>
        <v>0</v>
      </c>
      <c r="I13" s="901">
        <f t="shared" si="0"/>
        <v>0</v>
      </c>
      <c r="J13" s="870">
        <f t="shared" si="0"/>
        <v>0</v>
      </c>
      <c r="K13" s="870">
        <f t="shared" si="0"/>
        <v>0</v>
      </c>
      <c r="L13" s="902">
        <f t="shared" si="0"/>
        <v>0</v>
      </c>
      <c r="M13" s="902">
        <f t="shared" si="0"/>
        <v>0</v>
      </c>
      <c r="N13" s="902">
        <f t="shared" si="0"/>
        <v>977</v>
      </c>
      <c r="O13" s="903">
        <f t="shared" si="0"/>
        <v>0</v>
      </c>
      <c r="P13" s="903">
        <f t="shared" si="0"/>
        <v>0</v>
      </c>
      <c r="Q13" s="902">
        <f t="shared" si="0"/>
        <v>3428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205</v>
      </c>
      <c r="AC13" s="902">
        <f t="shared" si="1"/>
        <v>5235</v>
      </c>
      <c r="AD13" s="902">
        <f t="shared" si="1"/>
        <v>0</v>
      </c>
      <c r="AE13" s="902">
        <f t="shared" si="1"/>
        <v>0</v>
      </c>
      <c r="AF13" s="902">
        <f t="shared" si="1"/>
        <v>195</v>
      </c>
      <c r="AG13" s="902">
        <f t="shared" si="1"/>
        <v>0</v>
      </c>
      <c r="AH13" s="902">
        <f t="shared" si="1"/>
        <v>268</v>
      </c>
      <c r="AI13" s="902">
        <f t="shared" si="1"/>
        <v>0</v>
      </c>
      <c r="AJ13" s="902">
        <f t="shared" si="1"/>
        <v>0</v>
      </c>
      <c r="AK13" s="902">
        <f t="shared" si="1"/>
        <v>0</v>
      </c>
      <c r="AL13" s="902">
        <f t="shared" si="1"/>
        <v>0</v>
      </c>
      <c r="AM13" s="902">
        <f t="shared" si="1"/>
        <v>11814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2401</v>
      </c>
      <c r="BD13" s="902">
        <f t="shared" si="1"/>
        <v>3965</v>
      </c>
      <c r="BE13" s="902">
        <f t="shared" si="1"/>
        <v>0</v>
      </c>
      <c r="BF13" s="902">
        <f t="shared" si="1"/>
        <v>0</v>
      </c>
      <c r="BG13" s="902">
        <f>IF(ISNUMBER(Datos!K13/Datos!J13),Datos!K13/Datos!J13," - ")</f>
        <v>0.7709532445005125</v>
      </c>
      <c r="BH13" s="906">
        <f>IF(ISNUMBER(((Datos!L13/Datos!K13)*11)/factor_trimestre),((Datos!L13/Datos!K13)*11)/factor_trimestre," - ")</f>
        <v>10.136019635917366</v>
      </c>
      <c r="BI13" s="902">
        <f>IF(ISNUMBER('Resol  Asuntos'!D13/NºAsuntos!G13),'Resol  Asuntos'!D13/NºAsuntos!G13," - ")</f>
        <v>0.22285130870614442</v>
      </c>
      <c r="BJ13" s="902" t="str">
        <f>IF(ISNUMBER(Datos!CI13/Datos!CJ13),Datos!CI13/Datos!CJ13," - ")</f>
        <v xml:space="preserve"> - </v>
      </c>
      <c r="BK13" s="902">
        <f>SUBTOTAL(9,BK8:BK12)</f>
        <v>0</v>
      </c>
      <c r="BL13" s="902">
        <f>IF(ISNUMBER((I13-AB13+L13)/(F13)),(I13-AB13+L13)/(F13)," - ")</f>
        <v>-1.5648854961832062</v>
      </c>
      <c r="BM13" s="907">
        <f>SUBTOTAL(9,BM9:BM12)</f>
        <v>-0.23174911739662665</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5</v>
      </c>
      <c r="B15" s="597" t="s">
        <v>396</v>
      </c>
      <c r="C15" s="603" t="str">
        <f>Datos!A15</f>
        <v xml:space="preserve">Jdos. Instrucción                               </v>
      </c>
      <c r="D15" s="604"/>
      <c r="E15" s="1168">
        <f>IF(ISNUMBER(Datos!AQ15),Datos!AQ15," - ")</f>
        <v>5</v>
      </c>
      <c r="F15" s="598">
        <f>IF(ISNUMBER(AF15+AB15-Datos!J15-L15),AF15+AB15-Datos!J15-L15," - ")</f>
        <v>1910</v>
      </c>
      <c r="G15" s="601">
        <f>IF(ISNUMBER(IF(D_I="SI",Datos!I15,Datos!I15+Datos!AC15)),IF(D_I="SI",Datos!I15,Datos!I15+Datos!AC15)," - ")</f>
        <v>1832</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760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8303</v>
      </c>
      <c r="AC15" s="229">
        <f>IF(ISNUMBER(Datos!Q15),Datos!Q15," - ")</f>
        <v>746</v>
      </c>
      <c r="AD15" s="337"/>
      <c r="AE15" s="487"/>
      <c r="AF15" s="599">
        <f>IF(ISNUMBER(IF(D_I="SI",Datos!L15,Datos!L15+Datos!AF15)),IF(D_I="SI",Datos!L15,Datos!L15+Datos!AF15)," - ")</f>
        <v>2477</v>
      </c>
      <c r="AG15" s="337"/>
      <c r="AH15" s="337"/>
      <c r="AI15" s="337"/>
      <c r="AJ15" s="337"/>
      <c r="AK15" s="337"/>
      <c r="AL15" s="482"/>
      <c r="AM15" s="338">
        <f>IF(ISNUMBER(Datos!R15),Datos!R15," - ")</f>
        <v>464</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1726</v>
      </c>
      <c r="BD15" s="232">
        <f>IF(ISNUMBER(Datos!N15),Datos!N15," - ")</f>
        <v>4075</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0.93607666290868097</v>
      </c>
      <c r="BH15" s="263">
        <f>IF(ISNUMBER(((IF(D_I="SI",Datos!L15/Datos!K15,(Datos!L15+Datos!AF15)/(Datos!K15+Datos!AE15)))*11)/factor_trimestre),((IF(D_I="SI",Datos!L15/Datos!K15,(Datos!L15+Datos!AF15)/(Datos!K15+Datos!AE15)))*11)/factor_trimestre," - ")</f>
        <v>3.2815849692882089</v>
      </c>
      <c r="BI15" s="246">
        <f>IF(ISNUMBER('Resol  Asuntos'!D15/NºAsuntos!G15),'Resol  Asuntos'!D15/NºAsuntos!G15," - ")</f>
        <v>0.20787667108274119</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396</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276</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24</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1448</v>
      </c>
      <c r="AC17" s="229">
        <f>IF(ISNUMBER(Datos!Q17),Datos!Q17," - ")</f>
        <v>18</v>
      </c>
      <c r="AD17" s="337"/>
      <c r="AE17" s="487"/>
      <c r="AF17" s="335">
        <f>IF(ISNUMBER(Datos!L17),Datos!L17,"-")</f>
        <v>327</v>
      </c>
      <c r="AG17" s="337"/>
      <c r="AH17" s="337"/>
      <c r="AI17" s="337"/>
      <c r="AJ17" s="337"/>
      <c r="AK17" s="337"/>
      <c r="AL17" s="482"/>
      <c r="AM17" s="338">
        <f>IF(ISNUMBER(Datos!R17),Datos!R17," - ")</f>
        <v>16</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139</v>
      </c>
      <c r="BD17" s="232">
        <f>IF(ISNUMBER(Datos!N17),Datos!N17," - ")</f>
        <v>781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0.96662216288384517</v>
      </c>
      <c r="BH17" s="263">
        <f>IF(ISNUMBER(((IF(D_I="SI",Datos!L17/Datos!K17,(Datos!L17+Datos!AF17)/(Datos!K17+Datos!AE17)))*11)/factor_trimestre),((IF(D_I="SI",Datos!L17/Datos!K17,(Datos!L17+Datos!AF17)/(Datos!K17+Datos!AE17)))*11)/factor_trimestre," - ")</f>
        <v>2.4841160220994474</v>
      </c>
      <c r="BI17" s="246">
        <f>IF(ISNUMBER('Resol  Asuntos'!D17/NºAsuntos!G17),'Resol  Asuntos'!D17/NºAsuntos!G17," - ")</f>
        <v>9.5994475138121552E-2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6</v>
      </c>
      <c r="F18" s="901">
        <f>SUBTOTAL(9,F15:F17)</f>
        <v>1910</v>
      </c>
      <c r="G18" s="901">
        <f>SUBTOTAL(9,G15:G17)</f>
        <v>2108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784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9751</v>
      </c>
      <c r="AC18" s="902">
        <f t="shared" si="4"/>
        <v>764</v>
      </c>
      <c r="AD18" s="902">
        <f t="shared" si="4"/>
        <v>0</v>
      </c>
      <c r="AE18" s="902">
        <f t="shared" si="4"/>
        <v>0</v>
      </c>
      <c r="AF18" s="902">
        <f t="shared" si="4"/>
        <v>2804</v>
      </c>
      <c r="AG18" s="902">
        <f t="shared" si="4"/>
        <v>0</v>
      </c>
      <c r="AH18" s="902">
        <f t="shared" si="4"/>
        <v>0</v>
      </c>
      <c r="AI18" s="902">
        <f t="shared" si="4"/>
        <v>0</v>
      </c>
      <c r="AJ18" s="902">
        <f t="shared" si="4"/>
        <v>0</v>
      </c>
      <c r="AK18" s="902">
        <f t="shared" si="4"/>
        <v>0</v>
      </c>
      <c r="AL18" s="902">
        <f t="shared" si="4"/>
        <v>0</v>
      </c>
      <c r="AM18" s="902">
        <f t="shared" si="4"/>
        <v>480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1865</v>
      </c>
      <c r="BD18" s="902">
        <f t="shared" si="4"/>
        <v>4856</v>
      </c>
      <c r="BE18" s="902">
        <f t="shared" si="4"/>
        <v>0</v>
      </c>
      <c r="BF18" s="902">
        <f t="shared" si="4"/>
        <v>0</v>
      </c>
      <c r="BG18" s="902">
        <f>IF(ISNUMBER(Datos!K18/Datos!J18),Datos!K18/Datos!J18," - ")</f>
        <v>0.94048996913580252</v>
      </c>
      <c r="BH18" s="906">
        <f>IF(ISNUMBER(((Datos!L18/Datos!K18)*11)/factor_trimestre),((Datos!L18/Datos!K18)*11)/factor_trimestre," - ")</f>
        <v>3.1631627525382009</v>
      </c>
      <c r="BI18" s="902">
        <f>SUBTOTAL(9,BI15:BI17)</f>
        <v>0.30387114622086275</v>
      </c>
      <c r="BJ18" s="902">
        <f>SUBTOTAL(9,BJ15:BJ17)</f>
        <v>0</v>
      </c>
      <c r="BK18" s="902">
        <f>SUBTOTAL(9,BK15:BK17)</f>
        <v>0</v>
      </c>
      <c r="BL18" s="902">
        <f>IF(ISNUMBER((I18-AB18+L18)/(F18)),(I18-AB18+L18)/(F18)," - ")</f>
        <v>-5.1052356020942407</v>
      </c>
      <c r="BM18" s="908">
        <f>IF(ISNUMBER((Datos!P18-Datos!Q18)/(Datos!R18-Datos!P18+Datos!Q18)),(Datos!P18-Datos!Q18)/(Datos!R18-Datos!P18+Datos!Q18)," - ")</f>
        <v>4.3478260869565216E-2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15</v>
      </c>
      <c r="F19" s="823">
        <f t="shared" si="6"/>
        <v>2041</v>
      </c>
      <c r="G19" s="823">
        <f t="shared" si="6"/>
        <v>2242</v>
      </c>
      <c r="H19" s="825">
        <f t="shared" si="6"/>
        <v>0</v>
      </c>
      <c r="I19" s="823">
        <f t="shared" si="6"/>
        <v>0</v>
      </c>
      <c r="J19" s="825">
        <f t="shared" si="6"/>
        <v>0</v>
      </c>
      <c r="K19" s="825">
        <f t="shared" si="6"/>
        <v>0</v>
      </c>
      <c r="L19" s="884">
        <f t="shared" si="6"/>
        <v>0</v>
      </c>
      <c r="M19" s="884">
        <f t="shared" si="6"/>
        <v>0</v>
      </c>
      <c r="N19" s="884">
        <f t="shared" si="6"/>
        <v>977</v>
      </c>
      <c r="O19" s="884">
        <f t="shared" si="6"/>
        <v>0</v>
      </c>
      <c r="P19" s="884">
        <f t="shared" si="6"/>
        <v>0</v>
      </c>
      <c r="Q19" s="825">
        <f t="shared" si="6"/>
        <v>4212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9956</v>
      </c>
      <c r="AC19" s="824">
        <f t="shared" si="7"/>
        <v>5999</v>
      </c>
      <c r="AD19" s="824">
        <f t="shared" si="7"/>
        <v>0</v>
      </c>
      <c r="AE19" s="824">
        <f t="shared" si="7"/>
        <v>0</v>
      </c>
      <c r="AF19" s="831">
        <f t="shared" si="7"/>
        <v>2999</v>
      </c>
      <c r="AG19" s="831">
        <f t="shared" si="7"/>
        <v>0</v>
      </c>
      <c r="AH19" s="831">
        <f t="shared" si="7"/>
        <v>268</v>
      </c>
      <c r="AI19" s="831">
        <f t="shared" si="7"/>
        <v>0</v>
      </c>
      <c r="AJ19" s="824">
        <f t="shared" si="7"/>
        <v>0</v>
      </c>
      <c r="AK19" s="831">
        <f t="shared" si="7"/>
        <v>0</v>
      </c>
      <c r="AL19" s="831">
        <f t="shared" si="7"/>
        <v>0</v>
      </c>
      <c r="AM19" s="831">
        <f t="shared" si="7"/>
        <v>12294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4266</v>
      </c>
      <c r="BD19" s="823">
        <f t="shared" si="7"/>
        <v>8821</v>
      </c>
      <c r="BE19" s="823">
        <f t="shared" si="7"/>
        <v>0</v>
      </c>
      <c r="BF19" s="833">
        <f t="shared" si="7"/>
        <v>0</v>
      </c>
      <c r="BG19" s="918">
        <f>IF(ISNUMBER(Datos!K19/Datos!J19),Datos!K19/Datos!J19," - ")</f>
        <v>0.8472083640622966</v>
      </c>
      <c r="BH19" s="918">
        <f>IF(ISNUMBER(((Datos!L19/Datos!K19)*11)/factor_trimestre),((Datos!L19/Datos!K19)*11)/factor_trimestre," - ")</f>
        <v>6.6544113881919191</v>
      </c>
      <c r="BI19" s="816">
        <f>IF(ISNUMBER(Datos!J19/Datos!I19),Datos!J19/Datos!I19," - ")</f>
        <v>2.5586635586635587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-4.8780009799118078</v>
      </c>
      <c r="BM19" s="892">
        <f>IF(ISNUMBER((Datos!P19-Datos!Q19+R19)/(Datos!R19-Datos!P19+Datos!Q19-R19)),(Datos!P19-Datos!Q19+R19)/(Datos!R19-Datos!P19+Datos!Q19-R19)," - ")</f>
        <v>-0.12690860024146011</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896.8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3.2403703492039302</v>
      </c>
      <c r="F21" s="554">
        <f>IF(ISNUMBER(STDEV(F8:F18)),STDEV(F8:F18),"-")</f>
        <v>1027.1061288883443</v>
      </c>
      <c r="G21" s="555">
        <f>IF(ISNUMBER(STDEV(G8:G18)),STDEV(G8:G18),"-")</f>
        <v>986.24601393364321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4661.1429714180622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919.7857410961584</v>
      </c>
      <c r="BD21" s="554"/>
      <c r="BE21" s="554">
        <f>IF(ISNUMBER(STDEV(BE8:BE18)),STDEV(BE8:BE18),"-")</f>
        <v>0</v>
      </c>
      <c r="BF21" s="559">
        <f>IF(ISNUMBER(STDEV(BF8:BF18)),STDEV(BF8:BF18),"-")</f>
        <v>0</v>
      </c>
      <c r="BG21" s="778">
        <f>IF(ISNUMBER(STDEV(BG8:BG18)),STDEV(BG8:BG18),"-")</f>
        <v>0.10236270097590747</v>
      </c>
      <c r="BH21" s="779">
        <f>IF(ISNUMBER(STDEV(BH8:BH18)),STDEV(BH8:BH18),"-")</f>
        <v>3.7615702216924225</v>
      </c>
      <c r="BI21" s="252">
        <f>IF(ISNUMBER(STDEV(BI8:BI18)),STDEV(BI8:BI18),"-")</f>
        <v>8.5550367948090691E-2</v>
      </c>
      <c r="BJ21" s="233" t="str">
        <f>IF(ISNUMBER(BL21/BM21),BL21/BM21," - ")</f>
        <v xml:space="preserve"> - </v>
      </c>
      <c r="BK21" s="578"/>
      <c r="BL21" s="562">
        <f>IF(ISNUMBER(STDEV(BL8:BL18)),STDEV(BL8:BL18),"-")</f>
        <v>2.5034055676642044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EN/Ij7jO801qFUe04HLi+6p/AOnRV4nBBIFVb9wwekQOM+XEHohKqEK0JlT3SuTHb5OIHrtL7W9yDCLGjEctqQ==" saltValue="zBGTfKGWGhqQ6jaVCZ7df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CADIZ  Resumenes por Partidos Judiciales  JEREZ DE LA FRONTERA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6</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3030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4913</v>
      </c>
      <c r="AA9" s="335" t="str">
        <f>IF(ISNUMBER(IF(J_V="SI",Datos!L9,Datos!L9+Datos!AB9)-IF(Monitorios="SI",Datos!CD9,0)),
                          IF(J_V="SI",Datos!L9,Datos!L9+Datos!AB9)-IF(Monitorios="SI",Datos!CD9,0),
                          " - ")</f>
        <v xml:space="preserve"> - </v>
      </c>
      <c r="AB9" s="337"/>
      <c r="AC9" s="337"/>
      <c r="AD9" s="487"/>
      <c r="AE9" s="487">
        <f>IF(ISNUMBER(Datos!R9),Datos!R9," - ")</f>
        <v>10765</v>
      </c>
      <c r="AF9" s="232" t="str">
        <f>IF(ISNUMBER(Datos!BV9),Datos!BV9," - ")</f>
        <v xml:space="preserve"> - </v>
      </c>
      <c r="AG9" s="228" t="str">
        <f>IF(ISNUMBER(Datos!DV9),Datos!DV9," - ")</f>
        <v xml:space="preserve"> - </v>
      </c>
      <c r="AH9" s="301"/>
      <c r="AI9" s="230"/>
      <c r="AJ9" s="228">
        <f>IF(ISNUMBER(Datos!M9),Datos!M9," - ")</f>
        <v>1675</v>
      </c>
      <c r="AK9" s="232">
        <f>IF(ISNUMBER(Datos!N9),Datos!N9," - ")</f>
        <v>2689</v>
      </c>
      <c r="AL9" s="232" t="str">
        <f>IF(ISNUMBER(Datos!BW9),Datos!BW9," - ")</f>
        <v xml:space="preserve"> - </v>
      </c>
      <c r="AM9" s="231" t="str">
        <f>IF(ISNUMBER(Datos!BX9),Datos!BX9," - ")</f>
        <v xml:space="preserve"> - </v>
      </c>
      <c r="AN9" s="246"/>
      <c r="AO9" s="263">
        <f>IF(ISNUMBER(((NºAsuntos!I9/NºAsuntos!G9)*11)/factor_trimestre),((NºAsuntos!I9/NºAsuntos!G9)*11)/factor_trimestre," - ")</f>
        <v>10.651265667240107</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-0.14887729285262491</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1</v>
      </c>
      <c r="F10" s="228">
        <f>IF(ISNUMBER(Datos!L10+Datos!K10-Datos!J10),Datos!L10+Datos!K10-Datos!J10," - ")</f>
        <v>131</v>
      </c>
      <c r="G10" s="228">
        <f>IF(ISNUMBER(Datos!I10),Datos!I10," - ")</f>
        <v>134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60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205</v>
      </c>
      <c r="Z10" s="622">
        <f>IF(ISNUMBER(Datos!Q10),Datos!Q10," - ")</f>
        <v>103</v>
      </c>
      <c r="AA10" s="335">
        <f>IF(ISNUMBER(Datos!L10),Datos!L10,"-")</f>
        <v>195</v>
      </c>
      <c r="AB10" s="337"/>
      <c r="AC10" s="337"/>
      <c r="AD10" s="487"/>
      <c r="AE10" s="487">
        <f>IF(ISNUMBER(Datos!R10),Datos!R10," - ")</f>
        <v>141</v>
      </c>
      <c r="AF10" s="232" t="str">
        <f>IF(ISNUMBER(Datos!BV10),Datos!BV10," - ")</f>
        <v xml:space="preserve"> - </v>
      </c>
      <c r="AG10" s="228" t="str">
        <f>IF(ISNUMBER(Datos!DV10),Datos!DV10," - ")</f>
        <v xml:space="preserve"> - </v>
      </c>
      <c r="AH10" s="301"/>
      <c r="AI10" s="230"/>
      <c r="AJ10" s="228">
        <f>IF(ISNUMBER(Datos!M10),Datos!M10," - ")</f>
        <v>76</v>
      </c>
      <c r="AK10" s="232">
        <f>IF(ISNUMBER(Datos!N10),Datos!N10," - ")</f>
        <v>84</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10.463414634146341</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-0.23369565217391305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2</v>
      </c>
      <c r="B11" s="510" t="s">
        <v>246</v>
      </c>
      <c r="C11" s="7" t="str">
        <f>Datos!A11</f>
        <v xml:space="preserve">Jdos. Familia                                   </v>
      </c>
      <c r="D11" s="511"/>
      <c r="E11" s="1171">
        <f>IF(ISNUMBER(Datos!AQ11),Datos!AQ11," - ")</f>
        <v>2</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338</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219</v>
      </c>
      <c r="AA11" s="335" t="str">
        <f>IF(ISNUMBER(IF(J_V="SI",Datos!L11,Datos!L11+Datos!AB11)-IF(Monitorios="SI",Datos!CD11,0)),
                          IF(J_V="SI",Datos!L11,Datos!L11+Datos!AB11)-IF(Monitorios="SI",Datos!CD11,0),
                          " - ")</f>
        <v xml:space="preserve"> - </v>
      </c>
      <c r="AB11" s="337"/>
      <c r="AC11" s="337"/>
      <c r="AD11" s="487"/>
      <c r="AE11" s="487">
        <f>IF(ISNUMBER(Datos!R11),Datos!R11," - ")</f>
        <v>908</v>
      </c>
      <c r="AF11" s="232" t="str">
        <f>IF(ISNUMBER(Datos!BV11),Datos!BV11," - ")</f>
        <v xml:space="preserve"> - </v>
      </c>
      <c r="AG11" s="228" t="str">
        <f>IF(ISNUMBER(Datos!DV11),Datos!DV11," - ")</f>
        <v xml:space="preserve"> - </v>
      </c>
      <c r="AH11" s="301"/>
      <c r="AI11" s="230"/>
      <c r="AJ11" s="228">
        <f>IF(ISNUMBER(Datos!M11),Datos!M11," - ")</f>
        <v>650</v>
      </c>
      <c r="AK11" s="232">
        <f>IF(ISNUMBER(Datos!N11),Datos!N11," - ")</f>
        <v>1192</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5.4434389140271495</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0.15082382762991128</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246</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9</v>
      </c>
      <c r="F13" s="901">
        <f>SUBTOTAL(9,F8:F12)</f>
        <v>131</v>
      </c>
      <c r="G13" s="901">
        <f>SUBTOTAL(9,G8:G12)</f>
        <v>134</v>
      </c>
      <c r="H13" s="911"/>
      <c r="I13" s="901">
        <f t="shared" ref="I13:N13" si="0">SUBTOTAL(9,I8:I12)</f>
        <v>0</v>
      </c>
      <c r="J13" s="870">
        <f t="shared" si="0"/>
        <v>0</v>
      </c>
      <c r="K13" s="911">
        <f t="shared" si="0"/>
        <v>0</v>
      </c>
      <c r="L13" s="911">
        <f t="shared" si="0"/>
        <v>0</v>
      </c>
      <c r="M13" s="911">
        <f t="shared" si="0"/>
        <v>0</v>
      </c>
      <c r="N13" s="911">
        <f t="shared" si="0"/>
        <v>3428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205</v>
      </c>
      <c r="Z13" s="910">
        <f t="shared" si="2"/>
        <v>5235</v>
      </c>
      <c r="AA13" s="903">
        <f t="shared" si="2"/>
        <v>195</v>
      </c>
      <c r="AB13" s="903">
        <f t="shared" si="2"/>
        <v>0</v>
      </c>
      <c r="AC13" s="903">
        <f t="shared" si="2"/>
        <v>0</v>
      </c>
      <c r="AD13" s="903">
        <f t="shared" si="2"/>
        <v>0</v>
      </c>
      <c r="AE13" s="903">
        <f t="shared" si="2"/>
        <v>11814</v>
      </c>
      <c r="AF13" s="911">
        <f t="shared" si="2"/>
        <v>0</v>
      </c>
      <c r="AG13" s="911">
        <f t="shared" si="2"/>
        <v>0</v>
      </c>
      <c r="AH13" s="911">
        <f t="shared" si="2"/>
        <v>0</v>
      </c>
      <c r="AI13" s="911">
        <f t="shared" si="2"/>
        <v>0</v>
      </c>
      <c r="AJ13" s="911">
        <f t="shared" si="2"/>
        <v>2401</v>
      </c>
      <c r="AK13" s="911">
        <f t="shared" si="2"/>
        <v>3965</v>
      </c>
      <c r="AL13" s="911">
        <f t="shared" si="2"/>
        <v>0</v>
      </c>
      <c r="AM13" s="911">
        <f t="shared" si="2"/>
        <v>0</v>
      </c>
      <c r="AN13" s="911">
        <f t="shared" si="2"/>
        <v>0</v>
      </c>
      <c r="AO13" s="907">
        <f>IF(ISNUMBER(((NºAsuntos!I13/NºAsuntos!G13)*11)/factor_trimestre),((NºAsuntos!I13/NºAsuntos!G13)*11)/factor_trimestre," - ")</f>
        <v>9.4726192686096162</v>
      </c>
      <c r="AP13" s="913" t="str">
        <f>IF(ISNUMBER(Datos!CI13/Datos!CJ13),Datos!CI13/Datos!CJ13," - ")</f>
        <v xml:space="preserve"> - </v>
      </c>
      <c r="AQ13" s="931">
        <f t="shared" ref="AQ13:AV13" si="3">SUBTOTAL(9,AQ9:AQ12)</f>
        <v>0</v>
      </c>
      <c r="AR13" s="931">
        <f t="shared" si="3"/>
        <v>-0.23174911739662665</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5</v>
      </c>
      <c r="B15" s="510" t="s">
        <v>396</v>
      </c>
      <c r="C15" s="163" t="str">
        <f>Datos!A15</f>
        <v xml:space="preserve">Jdos. Instrucción                               </v>
      </c>
      <c r="D15" s="505"/>
      <c r="E15" s="1171">
        <f>IF(ISNUMBER(Datos!AQ15),Datos!AQ15," - ")</f>
        <v>5</v>
      </c>
      <c r="F15" s="336">
        <f>IF(ISNUMBER(AA15+Y15-Datos!J15-K15),AA15+Y15-Datos!J15-K15," - ")</f>
        <v>1910</v>
      </c>
      <c r="G15" s="228">
        <f>IF(ISNUMBER(IF(D_I="SI",Datos!I15,Datos!I15+Datos!AC15)),IF(D_I="SI",Datos!I15,Datos!I15+Datos!AC15)," - ")</f>
        <v>1832</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760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8303</v>
      </c>
      <c r="Z15" s="622">
        <f>IF(ISNUMBER(Datos!Q15),Datos!Q15," - ")</f>
        <v>746</v>
      </c>
      <c r="AA15" s="335">
        <f>IF(ISNUMBER(IF(D_I="SI",Datos!L15,Datos!L15+Datos!AF15)),IF(D_I="SI",Datos!L15,Datos!L15+Datos!AF15)," - ")</f>
        <v>2477</v>
      </c>
      <c r="AB15" s="337"/>
      <c r="AC15" s="337"/>
      <c r="AD15" s="487"/>
      <c r="AE15" s="487">
        <f>IF(ISNUMBER(Datos!R15),Datos!R15," - ")</f>
        <v>464</v>
      </c>
      <c r="AF15" s="232" t="str">
        <f>IF(ISNUMBER(Datos!BV15),Datos!BV15," - ")</f>
        <v xml:space="preserve"> - </v>
      </c>
      <c r="AG15" s="228"/>
      <c r="AH15" s="301"/>
      <c r="AI15" s="230"/>
      <c r="AJ15" s="228">
        <f>IF(ISNUMBER(Datos!M15),Datos!M15," - ")</f>
        <v>1726</v>
      </c>
      <c r="AK15" s="232">
        <f>IF(ISNUMBER(Datos!N15),Datos!N15," - ")</f>
        <v>4075</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3.2815849692882089</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396</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276</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24</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1448</v>
      </c>
      <c r="Z17" s="622">
        <f>IF(ISNUMBER(Datos!Q17),Datos!Q17," - ")</f>
        <v>18</v>
      </c>
      <c r="AA17" s="335">
        <f>IF(ISNUMBER(Datos!L17),Datos!L17,"-")</f>
        <v>327</v>
      </c>
      <c r="AB17" s="337"/>
      <c r="AC17" s="337"/>
      <c r="AD17" s="487"/>
      <c r="AE17" s="487">
        <f>IF(ISNUMBER(Datos!R17),Datos!R17," - ")</f>
        <v>16</v>
      </c>
      <c r="AF17" s="232" t="str">
        <f>IF(ISNUMBER(Datos!BV17),Datos!BV17," - ")</f>
        <v xml:space="preserve"> - </v>
      </c>
      <c r="AG17" s="228" t="str">
        <f>IF(ISNUMBER(Datos!DV17),Datos!DV17," - ")</f>
        <v xml:space="preserve"> - </v>
      </c>
      <c r="AH17" s="301"/>
      <c r="AI17" s="230"/>
      <c r="AJ17" s="228">
        <f>IF(ISNUMBER(Datos!M17),Datos!M17," - ")</f>
        <v>139</v>
      </c>
      <c r="AK17" s="232">
        <f>IF(ISNUMBER(Datos!N17),Datos!N17," - ")</f>
        <v>781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2.4841160220994474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6</v>
      </c>
      <c r="F18" s="901">
        <f>SUBTOTAL(9,F15:F17)</f>
        <v>1910</v>
      </c>
      <c r="G18" s="901">
        <f>SUBTOTAL(9,G15:G17)</f>
        <v>2108</v>
      </c>
      <c r="H18" s="935">
        <f>SUBTOTAL(9,H15:H17)</f>
        <v>0</v>
      </c>
      <c r="I18" s="914">
        <f>SUBTOTAL(9,I15:I17)</f>
        <v>0</v>
      </c>
      <c r="J18" s="870">
        <f>SUBTOTAL(9,J14:J17)</f>
        <v>0</v>
      </c>
      <c r="K18" s="935">
        <f t="shared" ref="K18:S18" si="4">SUBTOTAL(9,K15:K17)</f>
        <v>0</v>
      </c>
      <c r="L18" s="935">
        <f t="shared" si="4"/>
        <v>0</v>
      </c>
      <c r="M18" s="935">
        <f t="shared" si="4"/>
        <v>0</v>
      </c>
      <c r="N18" s="935">
        <f t="shared" si="4"/>
        <v>784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9751</v>
      </c>
      <c r="Z18" s="935">
        <f t="shared" si="5"/>
        <v>764</v>
      </c>
      <c r="AA18" s="935">
        <f t="shared" si="5"/>
        <v>2804</v>
      </c>
      <c r="AB18" s="935">
        <f t="shared" si="5"/>
        <v>0</v>
      </c>
      <c r="AC18" s="935">
        <f t="shared" si="5"/>
        <v>0</v>
      </c>
      <c r="AD18" s="935">
        <f t="shared" si="5"/>
        <v>0</v>
      </c>
      <c r="AE18" s="935">
        <f t="shared" si="5"/>
        <v>480</v>
      </c>
      <c r="AF18" s="935">
        <f t="shared" si="5"/>
        <v>0</v>
      </c>
      <c r="AG18" s="935">
        <f t="shared" si="5"/>
        <v>0</v>
      </c>
      <c r="AH18" s="935">
        <f t="shared" si="5"/>
        <v>0</v>
      </c>
      <c r="AI18" s="935">
        <f t="shared" si="5"/>
        <v>0</v>
      </c>
      <c r="AJ18" s="935">
        <f t="shared" si="5"/>
        <v>1865</v>
      </c>
      <c r="AK18" s="935">
        <f t="shared" si="5"/>
        <v>4856</v>
      </c>
      <c r="AL18" s="935">
        <f t="shared" si="5"/>
        <v>0</v>
      </c>
      <c r="AM18" s="935">
        <f t="shared" si="5"/>
        <v>0</v>
      </c>
      <c r="AN18" s="935">
        <f t="shared" si="5"/>
        <v>0</v>
      </c>
      <c r="AO18" s="937">
        <f>IF(ISNUMBER(((NºAsuntos!I18/NºAsuntos!G18)*11)/factor_trimestre),((NºAsuntos!I18/NºAsuntos!G18)*11)/factor_trimestre," - ")</f>
        <v>3.1631627525382009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15</v>
      </c>
      <c r="F19" s="823">
        <f t="shared" si="7"/>
        <v>2041</v>
      </c>
      <c r="G19" s="823">
        <f t="shared" si="7"/>
        <v>2242</v>
      </c>
      <c r="H19" s="824">
        <f t="shared" si="7"/>
        <v>0</v>
      </c>
      <c r="I19" s="823">
        <f t="shared" si="7"/>
        <v>0</v>
      </c>
      <c r="J19" s="825">
        <f t="shared" si="7"/>
        <v>0</v>
      </c>
      <c r="K19" s="823">
        <f t="shared" si="7"/>
        <v>0</v>
      </c>
      <c r="L19" s="826">
        <f t="shared" si="7"/>
        <v>0</v>
      </c>
      <c r="M19" s="823">
        <f t="shared" si="7"/>
        <v>0</v>
      </c>
      <c r="N19" s="824">
        <f t="shared" si="7"/>
        <v>4212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9956</v>
      </c>
      <c r="Z19" s="830">
        <f t="shared" si="8"/>
        <v>5999</v>
      </c>
      <c r="AA19" s="831">
        <f t="shared" si="8"/>
        <v>2999</v>
      </c>
      <c r="AB19" s="831">
        <f t="shared" si="8"/>
        <v>0</v>
      </c>
      <c r="AC19" s="831">
        <f t="shared" si="8"/>
        <v>0</v>
      </c>
      <c r="AD19" s="832">
        <f t="shared" si="8"/>
        <v>0</v>
      </c>
      <c r="AE19" s="832">
        <f t="shared" si="8"/>
        <v>12294</v>
      </c>
      <c r="AF19" s="833">
        <f t="shared" si="8"/>
        <v>0</v>
      </c>
      <c r="AG19" s="834">
        <f t="shared" si="8"/>
        <v>0</v>
      </c>
      <c r="AH19" s="835">
        <f t="shared" si="8"/>
        <v>0</v>
      </c>
      <c r="AI19" s="833">
        <f t="shared" si="8"/>
        <v>0</v>
      </c>
      <c r="AJ19" s="823">
        <f t="shared" si="8"/>
        <v>4266</v>
      </c>
      <c r="AK19" s="823">
        <f t="shared" si="8"/>
        <v>8821</v>
      </c>
      <c r="AL19" s="823">
        <f t="shared" si="8"/>
        <v>0</v>
      </c>
      <c r="AM19" s="836">
        <f t="shared" si="8"/>
        <v>0</v>
      </c>
      <c r="AN19" s="826">
        <f>IF(ISNUMBER(Datos!K19/Datos!J19),Datos!K19/Datos!J19," - ")</f>
        <v>0.8472083640622966</v>
      </c>
      <c r="AO19" s="826">
        <f>IF(ISNUMBER(FIND("06",Criterios!A8,1)),(IF(ISNUMBER(((Datos!R19/Datos!Q19)*11)/factor_trimestre),((Datos!R19/Datos!Q19)*11)/factor_trimestre," - ")),(IF(ISNUMBER(((Datos!L19/Datos!K19)*11)/factor_trimestre),((Datos!L19/Datos!K19)*11)/factor_trimestre," - ")))</f>
        <v>6.6544113881919191</v>
      </c>
      <c r="AP19" s="837" t="str">
        <f>IF(ISNUMBER(Datos!CI19/Datos!CJ19),Datos!CI19/Datos!CJ19," - ")</f>
        <v xml:space="preserve"> - </v>
      </c>
      <c r="AQ19" s="837">
        <f>IF(OR(ISNUMBER(FIND("01",Criterios!A8,1)),ISNUMBER(FIND("02",Criterios!A8,1)),ISNUMBER(FIND("03",Criterios!A8,1)),ISNUMBER(FIND("04",Criterios!A8,1))),(J19-Y19+K19)/(F19-K19),(I19-Y19+K19)/(F19-K19))</f>
        <v>-4.8780009799118078</v>
      </c>
      <c r="AR19" s="837">
        <f>IF(ISNUMBER((Datos!P19-Datos!Q19+O19)/(Datos!R19-Datos!P19+Datos!Q19-O19)),(Datos!P19-Datos!Q19+O19)/(Datos!R19-Datos!P19+Datos!Q19-O19)," - ")</f>
        <v>-0.12690860024146011</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896.8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1027.1061288883443</v>
      </c>
      <c r="G21" s="555">
        <f>IF(ISNUMBER(STDEV(G8:G18)),STDEV(G8:G18),"-")</f>
        <v>986.24601393364321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919.7857410961584</v>
      </c>
      <c r="AK21" s="255"/>
      <c r="AL21" s="255">
        <f>IF(ISNUMBER(STDEV(AL8:AL18)),STDEV(AL8:AL18),"-")</f>
        <v>0</v>
      </c>
      <c r="AM21" s="257">
        <f>IF(ISNUMBER(STDEV(AM8:AM18)),STDEV(AM8:AM18),"-")</f>
        <v>0</v>
      </c>
      <c r="AN21" s="542">
        <f>IF(ISNUMBER(STDEV(AN8:AN18)),STDEV(AN8:AN18),"-")</f>
        <v>0</v>
      </c>
      <c r="AO21" s="543">
        <f>IF(ISNUMBER(STDEV(AO8:AO18)),STDEV(AO8:AO18),"-")</f>
        <v>3.6622564210375845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gioHSFOf33hL9Vf63T26XyLgnN/giD95XQNgqq1aMspsZj9SgIPd5ZDcKHPC5xvQ6zrmweg/VgpkM0eHFkY40w==" saltValue="LRnF1xGLv61scotvZRhYq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6D7/u4CfEGlqSMmdeWXpOFZzjOAIcZ/vgDF2gjor1nprdh2/rJzXckDv0PEGdJd1Rij3MXlWaPbvCTk7MhL+Bg==" saltValue="PPWLYH1yxPEnuSuMJki6E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6g4oBy/jZdrJWU4PcmHOJkufIb7tb5+N/mLA6yvs8MAEawQzKs723McQ/AGapNj+kxnuUm8le5Dpz3z0TVFEww==" saltValue="NQ0xNob1pJIe69uH9w4gl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CADIZ  Resumenes por Partidos Judiciales  JEREZ DE LA FRONTERA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0.22285130870614442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0.15757967158241143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rhR1mpX5JWOA7WPC0BNeIiNlhoEy0s7Z7awQm2uMP88A30Sk9kIC9o/Caq/TsXrYehaZDy6UVju6dA340iquw==" saltValue="BWNtkgBNa7qG5D4Ts/V0B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rsQL0V3/Fs70ZLCif97ojAXnxRHeWw7ZcFQygXLUkgV1AU2lgKmnfOnhjED3T5nf4C0NPHFZgPGpB5pThGaZcA==" saltValue="IymceTGcgoVethKHBLWV1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CADIZ</v>
      </c>
      <c r="D3" s="378"/>
      <c r="E3" s="378"/>
      <c r="F3" s="378"/>
    </row>
    <row r="4" spans="1:14" ht="13.5" thickBot="1">
      <c r="A4" s="378"/>
      <c r="B4" s="394" t="str">
        <f>Criterios!A11 &amp;"  "&amp;Criterios!B11</f>
        <v>Resumenes por Partidos Judiciales  JEREZ DE LA FRONTERA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6</v>
      </c>
      <c r="C9" s="406">
        <f>IF(ISNUMBER(IF(J_V="SI",Datos!I9,Datos!I9+Datos!Y9)),IF(J_V="SI",Datos!I9,Datos!I9+Datos!Y9)," - ")</f>
        <v>5970</v>
      </c>
      <c r="D9" s="407">
        <f>IF(ISNUMBER(C9/Datos!BH9),C9/Datos!BH9," - ")</f>
        <v>995</v>
      </c>
      <c r="E9" s="406">
        <f>IF(ISNUMBER(IF(J_V="SI",Datos!J9,Datos!J9+Datos!Z9)),IF(J_V="SI",Datos!J9,Datos!J9+Datos!Z9)," - ")</f>
        <v>10860</v>
      </c>
      <c r="F9" s="407">
        <f>IF(ISNUMBER(E9/B9),E9/B9," - ")</f>
        <v>1810</v>
      </c>
      <c r="G9" s="406">
        <f>IF(ISNUMBER(IF(J_V="SI",Datos!K9,Datos!K9+Datos!AA9)),IF(J_V="SI",Datos!K9,Datos!K9+Datos!AA9)," - ")</f>
        <v>8138</v>
      </c>
      <c r="H9" s="407">
        <f>IF(ISNUMBER(G9/B9),G9/B9," - ")</f>
        <v>1356.3333333333333</v>
      </c>
      <c r="I9" s="406">
        <f>IF(ISNUMBER(IF(J_V="SI",Datos!L9,Datos!L9+Datos!AB9)),IF(J_V="SI",Datos!L9,Datos!L9+Datos!AB9)," - ")</f>
        <v>7880</v>
      </c>
      <c r="J9" s="407">
        <f>IF(ISNUMBER(I9/B9),I9/B9," - ")</f>
        <v>1313.3333333333333</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134</v>
      </c>
      <c r="D10" s="407">
        <f>IF(ISNUMBER(C10/Datos!BH10),C10/Datos!BH10," - ")</f>
        <v>134</v>
      </c>
      <c r="E10" s="406">
        <f>IF(ISNUMBER(Datos!J10),Datos!J10," - ")</f>
        <v>269</v>
      </c>
      <c r="F10" s="407">
        <f>IF(ISNUMBER(E10/B10),E10/B10," - ")</f>
        <v>269</v>
      </c>
      <c r="G10" s="406">
        <f>IF(ISNUMBER(Datos!K10),Datos!K10," - ")</f>
        <v>205</v>
      </c>
      <c r="H10" s="407">
        <f>IF(ISNUMBER(G10/B10),G10/B10," - ")</f>
        <v>205</v>
      </c>
      <c r="I10" s="406">
        <f>IF(ISNUMBER(Datos!L10),Datos!L10," - ")</f>
        <v>195</v>
      </c>
      <c r="J10" s="407">
        <f>IF(ISNUMBER(I10/B10),I10/B10," - ")</f>
        <v>195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2</v>
      </c>
      <c r="C11" s="406">
        <f>IF(ISNUMBER(IF(J_V="SI",Datos!I11,Datos!I11+Datos!Y11)),IF(J_V="SI",Datos!I11,Datos!I11+Datos!Y11)," - ")</f>
        <v>1103</v>
      </c>
      <c r="D11" s="407">
        <f>IF(ISNUMBER(C11/Datos!BH11),C11/Datos!BH11," - ")</f>
        <v>1103</v>
      </c>
      <c r="E11" s="406">
        <f>IF(ISNUMBER(IF(J_V="SI",Datos!J11,Datos!J11+Datos!Z11)),IF(J_V="SI",Datos!J11,Datos!J11+Datos!Z11)," - ")</f>
        <v>2531</v>
      </c>
      <c r="F11" s="407">
        <f>IF(ISNUMBER(E11/B11),E11/B11," - ")</f>
        <v>1265.5</v>
      </c>
      <c r="G11" s="406">
        <f>IF(ISNUMBER(IF(J_V="SI",Datos!K11,Datos!K11+Datos!AA11)),IF(J_V="SI",Datos!K11,Datos!K11+Datos!AA11)," - ")</f>
        <v>2431</v>
      </c>
      <c r="H11" s="407">
        <f>IF(ISNUMBER(G11/B11),G11/B11," - ")</f>
        <v>1215.5</v>
      </c>
      <c r="I11" s="406">
        <f>IF(ISNUMBER(IF(J_V="SI",Datos!L11,Datos!L11+Datos!AB11)),IF(J_V="SI",Datos!L11,Datos!L11+Datos!AB11)," - ")</f>
        <v>1203</v>
      </c>
      <c r="J11" s="407">
        <f>IF(ISNUMBER(I11/B11),I11/B11," - ")</f>
        <v>601.5</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9</v>
      </c>
      <c r="C13" s="852">
        <f>SUBTOTAL(9,C8:C12)</f>
        <v>7207</v>
      </c>
      <c r="D13" s="853" t="str">
        <f>IF(ISNUMBER(C13/Datos!BI13),C13/Datos!BI13," - ")</f>
        <v xml:space="preserve"> - </v>
      </c>
      <c r="E13" s="852">
        <f>SUBTOTAL(9,E8:E12)</f>
        <v>13660</v>
      </c>
      <c r="F13" s="853">
        <f>IF(ISNUMBER(E13/B13),E13/B13," - ")</f>
        <v>1517.7777777777778</v>
      </c>
      <c r="G13" s="852">
        <f>SUBTOTAL(9,G8:G12)</f>
        <v>10774</v>
      </c>
      <c r="H13" s="853">
        <f>IF(ISNUMBER(G13/B13),G13/B13," - ")</f>
        <v>1197.1111111111111</v>
      </c>
      <c r="I13" s="852">
        <f>SUBTOTAL(9,I8:I12)</f>
        <v>9278</v>
      </c>
      <c r="J13" s="853">
        <f>IF(ISNUMBER(I13/B13),I13/B13," - ")</f>
        <v>1030.8888888888889</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5</v>
      </c>
      <c r="C15" s="406">
        <f>IF(ISNUMBER(IF(D_I="SI",Datos!I15,Datos!I15+Datos!AC15)),IF(D_I="SI",Datos!I15,Datos!I15+Datos!AC15)," - ")</f>
        <v>1832</v>
      </c>
      <c r="D15" s="407">
        <f>IF(ISNUMBER(C15/Datos!BH15),C15/Datos!BH15," - ")</f>
        <v>366.4</v>
      </c>
      <c r="E15" s="406">
        <f>IF(ISNUMBER(IF(D_I="SI",Datos!J15,Datos!J15+Datos!AD15)),IF(D_I="SI",Datos!J15,Datos!J15+Datos!AD15)," - ")</f>
        <v>8870</v>
      </c>
      <c r="F15" s="407">
        <f>IF(ISNUMBER(E15/B15),E15/B15," - ")</f>
        <v>1774</v>
      </c>
      <c r="G15" s="406">
        <f>IF(ISNUMBER(IF(D_I="SI",Datos!K15,Datos!K15+Datos!AE15)),IF(D_I="SI",Datos!K15,Datos!K15+Datos!AE15)," - ")</f>
        <v>8303</v>
      </c>
      <c r="H15" s="407">
        <f>IF(ISNUMBER(G15/B15),G15/B15," - ")</f>
        <v>1660.6</v>
      </c>
      <c r="I15" s="406">
        <f>IF(ISNUMBER(IF(D_I="SI",Datos!L15,Datos!L15+Datos!AF15)),IF(D_I="SI",Datos!L15,Datos!L15+Datos!AF15)," - ")</f>
        <v>2477</v>
      </c>
      <c r="J15" s="407">
        <f>IF(ISNUMBER(I15/B15),I15/B15," - ")</f>
        <v>495.4</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276</v>
      </c>
      <c r="D17" s="407">
        <f>IF(ISNUMBER(C17/Datos!BH17),C17/Datos!BH17," - ")</f>
        <v>276</v>
      </c>
      <c r="E17" s="406">
        <f>IF(ISNUMBER(IF(D_I="SI",Datos!J17,Datos!J17+Datos!AD17)),IF(D_I="SI",Datos!J17,Datos!J17+Datos!AD17)," - ")</f>
        <v>1498</v>
      </c>
      <c r="F17" s="407">
        <f>IF(ISNUMBER(E17/B17),E17/B17," - ")</f>
        <v>1498</v>
      </c>
      <c r="G17" s="406">
        <f>IF(ISNUMBER(IF(D_I="SI",Datos!K17,Datos!K17+Datos!AE17)),IF(D_I="SI",Datos!K17,Datos!K17+Datos!AE17)," - ")</f>
        <v>1448</v>
      </c>
      <c r="H17" s="407">
        <f>IF(ISNUMBER(G17/B17),G17/B17," - ")</f>
        <v>1448</v>
      </c>
      <c r="I17" s="406">
        <f>IF(ISNUMBER(IF(D_I="SI",Datos!L17,Datos!L17+Datos!AF17)),IF(D_I="SI",Datos!L17,Datos!L17+Datos!AF17)," - ")</f>
        <v>327</v>
      </c>
      <c r="J17" s="407">
        <f>IF(ISNUMBER(I17/B17),I17/B17," - ")</f>
        <v>327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6</v>
      </c>
      <c r="C18" s="852">
        <f>SUBTOTAL(9,C14:C17)</f>
        <v>2108</v>
      </c>
      <c r="D18" s="853" t="str">
        <f>IF(ISNUMBER(C18/Datos!BI18),C18/Datos!BI18," - ")</f>
        <v xml:space="preserve"> - </v>
      </c>
      <c r="E18" s="852">
        <f>SUBTOTAL(9,E14:E17)</f>
        <v>10368</v>
      </c>
      <c r="F18" s="853">
        <f>IF(ISNUMBER(E18/B18),E18/B18," - ")</f>
        <v>1728</v>
      </c>
      <c r="G18" s="852">
        <f>SUBTOTAL(9,G14:G17)</f>
        <v>9751</v>
      </c>
      <c r="H18" s="853">
        <f>IF(ISNUMBER(G18/B18),G18/B18," - ")</f>
        <v>1625.1666666666667</v>
      </c>
      <c r="I18" s="852">
        <f>SUBTOTAL(9,I14:I17)</f>
        <v>2804</v>
      </c>
      <c r="J18" s="853">
        <f>IF(ISNUMBER(I18/B18),I18/B18," - ")</f>
        <v>467.33333333333331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14</v>
      </c>
      <c r="C19" s="797">
        <f>SUBTOTAL(9,C9:C18)</f>
        <v>9315</v>
      </c>
      <c r="D19" s="798" t="str">
        <f>IF(ISNUMBER(C19/Datos!BI19),C19/Datos!BI19," - ")</f>
        <v xml:space="preserve"> - </v>
      </c>
      <c r="E19" s="797">
        <f>SUBTOTAL(9,E9:E18)</f>
        <v>24028</v>
      </c>
      <c r="F19" s="798">
        <f>IF(ISNUMBER(E19/B19),E19/B19," - ")</f>
        <v>1716.2857142857142</v>
      </c>
      <c r="G19" s="797">
        <f>SUBTOTAL(9,G9:G18)</f>
        <v>20525</v>
      </c>
      <c r="H19" s="798">
        <f>IF(ISNUMBER(G19/B19),G19/B19," - ")</f>
        <v>1466.0714285714287</v>
      </c>
      <c r="I19" s="797">
        <f>SUBTOTAL(9,I9:I18)</f>
        <v>12082</v>
      </c>
      <c r="J19" s="798">
        <f>IF(ISNUMBER(I19/B19),I19/B19," - ")</f>
        <v>863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LEno+h2AQO5cVYflKExLEJm3FVHoRgBTJR75YGE31qnx1B+0JC8eAllCzloQ049988TsyLrpKB58QEkpCN6XOQ==" saltValue="ka4+m58lARCO43UVeTQtH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CADIZ  Resumenes por Partidos Judiciales  JEREZ DE LA FRONTERA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6</v>
      </c>
      <c r="B9" s="504" t="s">
        <v>246</v>
      </c>
      <c r="C9" s="163" t="str">
        <f>Datos!A9</f>
        <v xml:space="preserve">Jdos. 1ª Instancia   </v>
      </c>
      <c r="D9" s="505"/>
      <c r="E9" s="685">
        <f>IF(ISNUMBER(Datos!AQ9),Datos!AQ9," - ")</f>
        <v>6</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1</v>
      </c>
      <c r="F10" s="686">
        <f>IF(ISNUMBER(Datos!L10+Datos!K10-Datos!J10),Datos!L10+Datos!K10-Datos!J10," - ")</f>
        <v>131</v>
      </c>
      <c r="G10" s="687">
        <f>IF(ISNUMBER(Datos!I10),Datos!I10," - ")</f>
        <v>134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60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205</v>
      </c>
      <c r="AC10" s="686" t="str">
        <f>IF(ISNUMBER(IF(D_I="SI",DatosP!K17,DatosP!K17+DatosP!AE17)),IF(D_I="SI",DatosP!K17,DatosP!K17+DatosP!AE17)," - ")</f>
        <v xml:space="preserve"> - </v>
      </c>
      <c r="AD10" s="688"/>
      <c r="AE10" s="688"/>
      <c r="AF10" s="691">
        <f>IF(ISNUMBER(Datos!L10),Datos!L10,"-")</f>
        <v>195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76</v>
      </c>
      <c r="AM10" s="693">
        <f>IF(ISNUMBER(Datos!N10+DatosP!N17),Datos!N10+DatosP!N17," - ")</f>
        <v>84</v>
      </c>
      <c r="AN10" s="693">
        <f>IF(ISNUMBER(Datos!BW10+DatosP!BW17),Datos!BW10+DatosP!BW17," - ")</f>
        <v>0</v>
      </c>
      <c r="AO10" s="694">
        <f>IF(ISNUMBER(Datos!BX10+DatosP!BX17),Datos!BX10+DatosP!BX17," - ")</f>
        <v>0</v>
      </c>
      <c r="AP10" s="696">
        <f>IF(ISNUMBER(((Datos!L10/Datos!K10)*11)/factor_trimestre),((Datos!L10/Datos!K10)*11)/factor_trimestre," - ")</f>
        <v>10.463414634146341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2</v>
      </c>
      <c r="B11" s="510" t="s">
        <v>246</v>
      </c>
      <c r="C11" s="7" t="str">
        <f>Datos!A11</f>
        <v xml:space="preserve">Jdos. Familia                                   </v>
      </c>
      <c r="D11" s="511"/>
      <c r="E11" s="685">
        <f>IF(ISNUMBER(Datos!AQ11),Datos!AQ11," - ")</f>
        <v>2</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246</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9</v>
      </c>
      <c r="F13" s="941">
        <f t="shared" si="0"/>
        <v>131</v>
      </c>
      <c r="G13" s="941">
        <f t="shared" si="0"/>
        <v>134</v>
      </c>
      <c r="H13" s="941">
        <f t="shared" si="0"/>
        <v>0</v>
      </c>
      <c r="I13" s="943">
        <f t="shared" si="0"/>
        <v>0</v>
      </c>
      <c r="J13" s="942">
        <f t="shared" si="0"/>
        <v>0</v>
      </c>
      <c r="K13" s="942">
        <f t="shared" si="0"/>
        <v>0</v>
      </c>
      <c r="L13" s="944">
        <f t="shared" si="0"/>
        <v>0</v>
      </c>
      <c r="M13" s="944">
        <f t="shared" si="0"/>
        <v>0</v>
      </c>
      <c r="N13" s="942">
        <f t="shared" si="0"/>
        <v>60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205</v>
      </c>
      <c r="AC13" s="942">
        <f t="shared" si="1"/>
        <v>0</v>
      </c>
      <c r="AD13" s="942">
        <f t="shared" si="1"/>
        <v>0</v>
      </c>
      <c r="AE13" s="942">
        <f t="shared" si="1"/>
        <v>0</v>
      </c>
      <c r="AF13" s="942">
        <f t="shared" si="1"/>
        <v>195</v>
      </c>
      <c r="AG13" s="942">
        <f t="shared" si="1"/>
        <v>0</v>
      </c>
      <c r="AH13" s="942">
        <f t="shared" si="1"/>
        <v>0</v>
      </c>
      <c r="AI13" s="942">
        <f t="shared" si="1"/>
        <v>0</v>
      </c>
      <c r="AJ13" s="942">
        <f t="shared" si="1"/>
        <v>0</v>
      </c>
      <c r="AK13" s="942">
        <f t="shared" si="1"/>
        <v>0</v>
      </c>
      <c r="AL13" s="942">
        <f t="shared" si="1"/>
        <v>76</v>
      </c>
      <c r="AM13" s="942">
        <f t="shared" si="1"/>
        <v>84</v>
      </c>
      <c r="AN13" s="942">
        <f t="shared" si="1"/>
        <v>0</v>
      </c>
      <c r="AO13" s="942">
        <f t="shared" si="1"/>
        <v>0</v>
      </c>
      <c r="AP13" s="947">
        <f>IF(ISNUMBER(((Datos!L13/Datos!K13)*11)/factor_trimestre),((Datos!L13/Datos!K13)*11)/factor_trimestre," - ")</f>
        <v>10.136019635917366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-1.5648854961832062</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5</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3.1631627525382009</v>
      </c>
      <c r="AQ18" s="947">
        <f>IF(ISNUMBER(((Datos!M18/Datos!L18)*11)/factor_trimestre),((Datos!M18/Datos!L18)*11)/factor_trimestre," - ")</f>
        <v>7.316333808844508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4.3478260869565216E-2</v>
      </c>
      <c r="AW18" s="949">
        <f>IF(ISNUMBER((Datos!Q18-Datos!R18)/(Datos!S18-Datos!Q18+Datos!R18)),(Datos!Q18-Datos!R18)/(Datos!S18-Datos!Q18+Datos!R18)," - ")</f>
        <v>0.15681943677526228</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9</v>
      </c>
      <c r="F19" s="954">
        <f t="shared" si="4"/>
        <v>131</v>
      </c>
      <c r="G19" s="954">
        <f t="shared" si="4"/>
        <v>134</v>
      </c>
      <c r="H19" s="954">
        <f t="shared" si="4"/>
        <v>0</v>
      </c>
      <c r="I19" s="955">
        <f t="shared" si="4"/>
        <v>0</v>
      </c>
      <c r="J19" s="956">
        <f t="shared" si="4"/>
        <v>0</v>
      </c>
      <c r="K19" s="956">
        <f t="shared" si="4"/>
        <v>0</v>
      </c>
      <c r="L19" s="956">
        <f t="shared" si="4"/>
        <v>0</v>
      </c>
      <c r="M19" s="956">
        <f t="shared" si="4"/>
        <v>0</v>
      </c>
      <c r="N19" s="955">
        <f t="shared" si="4"/>
        <v>60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205</v>
      </c>
      <c r="AC19" s="960">
        <f t="shared" si="5"/>
        <v>0</v>
      </c>
      <c r="AD19" s="960">
        <f t="shared" si="5"/>
        <v>0</v>
      </c>
      <c r="AE19" s="960">
        <f t="shared" si="5"/>
        <v>0</v>
      </c>
      <c r="AF19" s="961">
        <f t="shared" si="5"/>
        <v>195</v>
      </c>
      <c r="AG19" s="961">
        <f t="shared" si="5"/>
        <v>0</v>
      </c>
      <c r="AH19" s="961">
        <f t="shared" si="5"/>
        <v>0</v>
      </c>
      <c r="AI19" s="961">
        <f t="shared" si="5"/>
        <v>0</v>
      </c>
      <c r="AJ19" s="962">
        <f t="shared" si="5"/>
        <v>0</v>
      </c>
      <c r="AK19" s="962">
        <f t="shared" si="5"/>
        <v>0</v>
      </c>
      <c r="AL19" s="954">
        <f t="shared" si="5"/>
        <v>76</v>
      </c>
      <c r="AM19" s="954">
        <f t="shared" si="5"/>
        <v>84</v>
      </c>
      <c r="AN19" s="954">
        <f t="shared" si="5"/>
        <v>0</v>
      </c>
      <c r="AO19" s="954">
        <f t="shared" si="5"/>
        <v>0</v>
      </c>
      <c r="AP19" s="954">
        <f>IF(ISNUMBER(((Datos!L19/Datos!K19)*11)/factor_trimestre),((Datos!L19/Datos!K19)*11)/factor_trimestre," - ")</f>
        <v>6.6544113881919191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-1.5648854961832062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-0.12690860024146011</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89.333333333333329</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3.687817782917155</v>
      </c>
      <c r="F21" s="739">
        <f>IF(ISNUMBER(STDEV(F8:F18)),STDEV(F8:F18),"-")</f>
        <v>75.632885263840976</v>
      </c>
      <c r="G21" s="740">
        <f>IF(ISNUMBER(STDEV(G8:G18)),STDEV(G8:G18),"-")</f>
        <v>77.364936071409858</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118.35680518387328</v>
      </c>
      <c r="AC21" s="741">
        <f>IF(ISNUMBER(STDEV(AC8:AC18)),STDEV(AC8:AC18),"-")</f>
        <v>0</v>
      </c>
      <c r="AD21" s="744"/>
      <c r="AE21" s="744"/>
      <c r="AF21" s="744"/>
      <c r="AG21" s="744"/>
      <c r="AH21" s="744"/>
      <c r="AI21" s="744"/>
      <c r="AJ21" s="745">
        <f>IF(ISNUMBER(STDEV(AJ8:AJ18)),STDEV(AJ8:AJ18),"-")</f>
        <v>0</v>
      </c>
      <c r="AK21" s="747"/>
      <c r="AL21" s="739">
        <f>IF(ISNUMBER(STDEV(AL8:AL18)),STDEV(AL8:AL18),"-")</f>
        <v>43.878620458411561</v>
      </c>
      <c r="AM21" s="739"/>
      <c r="AN21" s="739">
        <f>IF(ISNUMBER(STDEV(AN8:AN18)),STDEV(AN8:AN18),"-")</f>
        <v>0</v>
      </c>
      <c r="AO21" s="745">
        <f>IF(ISNUMBER(STDEV(AO8:AO18)),STDEV(AO8:AO18),"-")</f>
        <v>0</v>
      </c>
      <c r="AP21" s="782">
        <f>IF(ISNUMBER(STDEV(AP8:AP18)),STDEV(AP8:AP18),"-")</f>
        <v>4.1235421289605831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3w+x8gzfzCrfqrwZi8etIm6QkbPXx/kZG7DRJ3UjrRRfNzw3UZit5qY0/V2e7Bh11FNxxYs3rWb12Xrt0EFcCQ==" saltValue="IIvakAhV2WVIGmUBgYtWw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CADIZ</v>
      </c>
      <c r="C3" s="418"/>
      <c r="F3" s="378"/>
      <c r="G3" s="378"/>
      <c r="H3" s="378"/>
    </row>
    <row r="4" spans="1:15" ht="13.5" thickBot="1">
      <c r="A4" s="378"/>
      <c r="B4" s="394" t="str">
        <f>Criterios!A11 &amp;"  "&amp;Criterios!B11</f>
        <v>Resumenes por Partidos Judiciales  JEREZ DE LA FRONTERA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6</v>
      </c>
      <c r="D9" s="406">
        <f>Datos!BK9</f>
        <v>0</v>
      </c>
      <c r="E9" s="406">
        <f>Datos!AQ9</f>
        <v>6</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2</v>
      </c>
      <c r="D11" s="406">
        <f>Datos!BK11</f>
        <v>0</v>
      </c>
      <c r="E11" s="406">
        <f>Datos!AQ11</f>
        <v>2</v>
      </c>
      <c r="F11" s="407">
        <f>IF(ISNUMBER(E11/Datos!BH11),E11/Datos!BH11," - ")</f>
        <v>2</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5</v>
      </c>
      <c r="D15" s="406">
        <f>Datos!BK15</f>
        <v>0</v>
      </c>
      <c r="E15" s="406">
        <f>Datos!AQ15</f>
        <v>5</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S89NyYz0/xCE8k8nqDZ5dfOc3tOQqDTYYnMb47mpZz4D3M4eJZC88PZU7+E4MZdPbyBe8+H2a6P5gMCtFi0CpA==" saltValue="bDpBUBOfPGJ3/XfSo/TQv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CADIZ</v>
      </c>
      <c r="C3" s="394"/>
      <c r="D3" s="428"/>
    </row>
    <row r="4" spans="1:9" ht="13.5" thickBot="1">
      <c r="B4" s="394" t="str">
        <f>Criterios!A11 &amp;"  "&amp;Criterios!B11</f>
        <v>Resumenes por Partidos Judiciales  JEREZ DE LA FRONTERA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6</v>
      </c>
      <c r="C9" s="413">
        <f>Datos!AQ9</f>
        <v>6</v>
      </c>
      <c r="D9" s="406">
        <f>IF(ISNUMBER(Datos!M9),Datos!M9," - ")</f>
        <v>1675</v>
      </c>
      <c r="E9" s="407">
        <f t="shared" ref="E9:E13" si="0">IF(ISNUMBER(D9/B9),D9/B9," - ")</f>
        <v>279.16666666666669</v>
      </c>
      <c r="F9" s="406">
        <f>IF(ISNUMBER(Datos!N9),Datos!N9," - ")</f>
        <v>2689</v>
      </c>
      <c r="G9" s="407">
        <f t="shared" ref="G9:G13" si="1">IF(ISNUMBER(F9/B9),F9/B9," - ")</f>
        <v>448.16666666666669</v>
      </c>
      <c r="H9" s="406">
        <f>IF(ISNUMBER(Datos!O9),Datos!O9," - ")</f>
        <v>4210</v>
      </c>
      <c r="I9" s="407">
        <f>IF(ISNUMBER(H9/B9),H9/B9," - ")</f>
        <v>701.66666666666663</v>
      </c>
    </row>
    <row r="10" spans="1:9">
      <c r="A10" s="405" t="str">
        <f>Datos!A10</f>
        <v>Jdos. Violencia contra la mujer</v>
      </c>
      <c r="B10" s="430">
        <f>Datos!AO10</f>
        <v>1</v>
      </c>
      <c r="C10" s="413">
        <f>Datos!AQ10</f>
        <v>1</v>
      </c>
      <c r="D10" s="406">
        <f>IF(ISNUMBER(Datos!M10),Datos!M10," - ")</f>
        <v>76</v>
      </c>
      <c r="E10" s="407">
        <f>IF(ISNUMBER(D10/B10),D10/B10," - ")</f>
        <v>76</v>
      </c>
      <c r="F10" s="406">
        <f>IF(ISNUMBER(Datos!N10),Datos!N10," - ")</f>
        <v>84</v>
      </c>
      <c r="G10" s="407">
        <f>IF(ISNUMBER(F10/B10),F10/B10," - ")</f>
        <v>84</v>
      </c>
      <c r="H10" s="406">
        <f>IF(ISNUMBER(Datos!O10),Datos!O10," - ")</f>
        <v>68</v>
      </c>
      <c r="I10" s="407">
        <f t="shared" ref="I10:I12" si="2">IF(ISNUMBER(H10/B10),H10/B10," - ")</f>
        <v>68</v>
      </c>
    </row>
    <row r="11" spans="1:9">
      <c r="A11" s="405" t="str">
        <f>Datos!A11</f>
        <v xml:space="preserve">Jdos. Familia                                   </v>
      </c>
      <c r="B11" s="430">
        <f>Datos!AO11</f>
        <v>2</v>
      </c>
      <c r="C11" s="413">
        <f>Datos!AQ11</f>
        <v>2</v>
      </c>
      <c r="D11" s="406">
        <f>IF(ISNUMBER(Datos!M11),Datos!M11," - ")</f>
        <v>650</v>
      </c>
      <c r="E11" s="407">
        <f t="shared" si="0"/>
        <v>325</v>
      </c>
      <c r="F11" s="406">
        <f>IF(ISNUMBER(Datos!N11),Datos!N11," - ")</f>
        <v>1192</v>
      </c>
      <c r="G11" s="407">
        <f t="shared" si="1"/>
        <v>596</v>
      </c>
      <c r="H11" s="406">
        <f>IF(ISNUMBER(Datos!O11),Datos!O11," - ")</f>
        <v>885</v>
      </c>
      <c r="I11" s="407">
        <f t="shared" si="2"/>
        <v>442.5</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9</v>
      </c>
      <c r="C13" s="854">
        <f>Datos!AR13</f>
        <v>9</v>
      </c>
      <c r="D13" s="852">
        <f>SUBTOTAL(9,D9:D12)</f>
        <v>2401</v>
      </c>
      <c r="E13" s="853">
        <f t="shared" si="0"/>
        <v>266.77777777777777</v>
      </c>
      <c r="F13" s="852">
        <f>SUBTOTAL(9,F9:F12)</f>
        <v>3965</v>
      </c>
      <c r="G13" s="853">
        <f t="shared" si="1"/>
        <v>440.55555555555554</v>
      </c>
      <c r="H13" s="852">
        <f>SUBTOTAL(9,H9:H12)</f>
        <v>5163</v>
      </c>
      <c r="I13" s="853">
        <f>IF(ISNUMBER(H13/B13),H13/B13," - ")</f>
        <v>573.66666666666663</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5</v>
      </c>
      <c r="C15" s="431">
        <f>Datos!AQ15</f>
        <v>5</v>
      </c>
      <c r="D15" s="406">
        <f>IF(ISNUMBER(Datos!M15),Datos!M15," - ")</f>
        <v>1726</v>
      </c>
      <c r="E15" s="407">
        <f t="shared" ref="E15:E18" si="3">IF(ISNUMBER(D15/B15),D15/B15," - ")</f>
        <v>345.2</v>
      </c>
      <c r="F15" s="406">
        <f>IF(ISNUMBER(Datos!N15),Datos!N15," - ")</f>
        <v>4075</v>
      </c>
      <c r="G15" s="407">
        <f t="shared" ref="G15:G18" si="4">IF(ISNUMBER(F15/B15),F15/B15," - ")</f>
        <v>815</v>
      </c>
      <c r="H15" s="406">
        <f>IF(ISNUMBER(Datos!O15),Datos!O15," - ")</f>
        <v>492</v>
      </c>
      <c r="I15" s="407">
        <f t="shared" ref="I15:I17" si="5">IF(ISNUMBER(H15/B15),H15/B15," - ")</f>
        <v>98.4</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1</v>
      </c>
      <c r="D17" s="406">
        <f>IF(ISNUMBER(Datos!M17),Datos!M17," - ")</f>
        <v>139</v>
      </c>
      <c r="E17" s="407">
        <f>IF(ISNUMBER(D17/B17),D17/B17," - ")</f>
        <v>139</v>
      </c>
      <c r="F17" s="406">
        <f>IF(ISNUMBER(Datos!N17),Datos!N17," - ")</f>
        <v>781</v>
      </c>
      <c r="G17" s="407">
        <f>IF(ISNUMBER(F17/B17),F17/B17," - ")</f>
        <v>781</v>
      </c>
      <c r="H17" s="406">
        <f>IF(ISNUMBER(Datos!O17),Datos!O17," - ")</f>
        <v>17</v>
      </c>
      <c r="I17" s="407">
        <f t="shared" si="5"/>
        <v>17</v>
      </c>
    </row>
    <row r="18" spans="1:9" ht="14.25" thickTop="1" thickBot="1">
      <c r="A18" s="851" t="str">
        <f>Datos!A18</f>
        <v>TOTAL</v>
      </c>
      <c r="B18" s="852">
        <f>Datos!AO18</f>
        <v>6</v>
      </c>
      <c r="C18" s="854">
        <f>Datos!AR18</f>
        <v>6</v>
      </c>
      <c r="D18" s="852">
        <f>SUBTOTAL(9,D15:D17)</f>
        <v>1865</v>
      </c>
      <c r="E18" s="853">
        <f t="shared" si="3"/>
        <v>310.83333333333331</v>
      </c>
      <c r="F18" s="852">
        <f>SUBTOTAL(9,F15:F17)</f>
        <v>4856</v>
      </c>
      <c r="G18" s="853">
        <f t="shared" si="4"/>
        <v>809.33333333333337</v>
      </c>
      <c r="H18" s="852">
        <f>SUBTOTAL(9,H15:H17)</f>
        <v>509</v>
      </c>
      <c r="I18" s="853">
        <f>IF(ISNUMBER(H18/B18),H18/B18," - ")</f>
        <v>84.833333333333329</v>
      </c>
    </row>
    <row r="19" spans="1:9" ht="14.25" thickTop="1" thickBot="1">
      <c r="A19" s="796" t="str">
        <f>Datos!A19</f>
        <v>TOTAL JURISDICCIONES</v>
      </c>
      <c r="B19" s="797">
        <f>Datos!AP19</f>
        <v>14</v>
      </c>
      <c r="C19" s="797">
        <f>Datos!AR19</f>
        <v>14</v>
      </c>
      <c r="D19" s="797">
        <f>SUBTOTAL(9,D8:D18)</f>
        <v>4266</v>
      </c>
      <c r="E19" s="798">
        <f>IF(ISNUMBER(D19/B19),D19/B19," - ")</f>
        <v>304.71428571428572</v>
      </c>
      <c r="F19" s="797">
        <f>SUBTOTAL(9,F8:F18)</f>
        <v>8821</v>
      </c>
      <c r="G19" s="798">
        <f>IF(ISNUMBER(F19/B19),F19/B19," - ")</f>
        <v>630.07142857142856</v>
      </c>
      <c r="H19" s="797">
        <f>SUBTOTAL(9,H8:H18)</f>
        <v>5672</v>
      </c>
      <c r="I19" s="798">
        <f>IF(ISNUMBER(H19/B19),H19/B19," - ")</f>
        <v>405.14285714285717</v>
      </c>
    </row>
    <row r="22" spans="1:9">
      <c r="A22" s="394" t="str">
        <f>Criterios!A4</f>
        <v>Fecha Informe: 03 may. 2024</v>
      </c>
    </row>
    <row r="27" spans="1:9">
      <c r="A27" s="417"/>
    </row>
  </sheetData>
  <sheetProtection algorithmName="SHA-512" hashValue="2IzgSU6c8Sc1b/iRJS5m50uxbACcxZxgh578uOMkn1ltcGK5MiWTahjBjcPG5iOgWI8X9BAc9Rt7uFYMQWbMdA==" saltValue="3+IILf+QQ2AhGgENz9ING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CADIZ</v>
      </c>
    </row>
    <row r="4" spans="1:4" ht="13.5" thickBot="1">
      <c r="B4" s="394" t="str">
        <f>Criterios!A11 &amp;"  "&amp;Criterios!B11</f>
        <v>Resumenes por Partidos Judiciales  JEREZ DE LA FRONTERA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3030</v>
      </c>
      <c r="C9" s="437">
        <f>IF(ISNUMBER(Datos!Q9),Datos!Q9," - ")</f>
        <v>4913</v>
      </c>
      <c r="D9" s="411">
        <f>IF(ISNUMBER(Datos!R9),Datos!R9," - ")</f>
        <v>10765</v>
      </c>
    </row>
    <row r="10" spans="1:4">
      <c r="A10" s="405" t="str">
        <f>Datos!A10</f>
        <v>Jdos. Violencia contra la mujer</v>
      </c>
      <c r="B10" s="436">
        <f>IF(ISNUMBER(Datos!P10),Datos!P10," - ")</f>
        <v>60</v>
      </c>
      <c r="C10" s="437">
        <f>IF(ISNUMBER(Datos!Q10),Datos!Q10," - ")</f>
        <v>103</v>
      </c>
      <c r="D10" s="411">
        <f>IF(ISNUMBER(Datos!R10),Datos!R10," - ")</f>
        <v>141</v>
      </c>
    </row>
    <row r="11" spans="1:4">
      <c r="A11" s="405" t="str">
        <f>Datos!A11</f>
        <v xml:space="preserve">Jdos. Familia                                   </v>
      </c>
      <c r="B11" s="436">
        <f>IF(ISNUMBER(Datos!P11),Datos!P11," - ")</f>
        <v>338</v>
      </c>
      <c r="C11" s="437">
        <f>IF(ISNUMBER(Datos!Q11),Datos!Q11," - ")</f>
        <v>219</v>
      </c>
      <c r="D11" s="411">
        <f>IF(ISNUMBER(Datos!R11),Datos!R11," - ")</f>
        <v>908</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3428</v>
      </c>
      <c r="C13" s="856">
        <f>SUBTOTAL(9,C9:C12)</f>
        <v>5235</v>
      </c>
      <c r="D13" s="854">
        <f>SUBTOTAL(9,D9:D12)</f>
        <v>11814</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760</v>
      </c>
      <c r="C15" s="437">
        <f>IF(ISNUMBER(Datos!Q15),Datos!Q15," - ")</f>
        <v>746</v>
      </c>
      <c r="D15" s="411">
        <f>IF(ISNUMBER(Datos!R15),Datos!R15," - ")</f>
        <v>464</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24</v>
      </c>
      <c r="C17" s="437">
        <f>IF(ISNUMBER(Datos!Q17),Datos!Q17," - ")</f>
        <v>18</v>
      </c>
      <c r="D17" s="411">
        <f>IF(ISNUMBER(Datos!R17),Datos!R17," - ")</f>
        <v>16</v>
      </c>
    </row>
    <row r="18" spans="1:4" ht="14.25" thickTop="1" thickBot="1">
      <c r="A18" s="851" t="str">
        <f>Datos!A18</f>
        <v>TOTAL</v>
      </c>
      <c r="B18" s="852">
        <f>SUBTOTAL(9,B15:B17)</f>
        <v>784</v>
      </c>
      <c r="C18" s="856">
        <f>SUBTOTAL(9,C15:C17)</f>
        <v>764</v>
      </c>
      <c r="D18" s="854">
        <f>SUBTOTAL(9,D15:D17)</f>
        <v>480</v>
      </c>
    </row>
    <row r="19" spans="1:4" ht="16.5" customHeight="1" thickTop="1" thickBot="1">
      <c r="A19" s="796" t="str">
        <f>Datos!A19</f>
        <v>TOTAL JURISDICCIONES</v>
      </c>
      <c r="B19" s="801">
        <f>SUBTOTAL(9,B8:B18)</f>
        <v>4212</v>
      </c>
      <c r="C19" s="802">
        <f>SUBTOTAL(9,C8:C18)</f>
        <v>5999</v>
      </c>
      <c r="D19" s="803">
        <f>SUBTOTAL(9,D8:D18)</f>
        <v>12294</v>
      </c>
    </row>
    <row r="20" spans="1:4" ht="7.5" customHeight="1"/>
    <row r="21" spans="1:4" ht="6" customHeight="1"/>
    <row r="22" spans="1:4">
      <c r="A22" s="394" t="str">
        <f>Criterios!A4</f>
        <v>Fecha Informe: 03 may. 2024</v>
      </c>
    </row>
    <row r="27" spans="1:4">
      <c r="A27" s="417"/>
    </row>
  </sheetData>
  <sheetProtection algorithmName="SHA-512" hashValue="BmCCVSC8tXxEIKis65zHvReduJvZyrnWXLmCyGubx3x5fnet7xa7hbPxnNaRcqDRnx7kFk8NGynj9CDwyuT3Lw==" saltValue="7655XZG/ECLpZx+BgqtVl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CADIZ</v>
      </c>
    </row>
    <row r="4" spans="1:11" ht="10.5" customHeight="1" thickBot="1">
      <c r="B4" s="394" t="str">
        <f>Criterios!A11 &amp;"  "&amp;Criterios!B11</f>
        <v>Resumenes por Partidos Judiciales  JEREZ DE LA FRONTERA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0.41805225653206651</v>
      </c>
      <c r="C9" s="459">
        <f>IF(ISNUMBER(
   IF(J_V="SI",(Datos!J9-Datos!T9)/Datos!T9,(Datos!J9+Datos!Z9-(Datos!T9+Datos!AH9))/(Datos!T9+Datos!AH9))
     ),IF(J_V="SI",(Datos!J9-Datos!T9)/Datos!T9,(Datos!J9+Datos!Z9-(Datos!T9+Datos!AH9))/(Datos!T9+Datos!AH9))," - ")</f>
        <v>6.3558907061012637E-2</v>
      </c>
      <c r="D9" s="459">
        <f>IF(ISNUMBER(
   IF(J_V="SI",(Datos!K9-Datos!U9)/Datos!U9,(Datos!K9+Datos!AA9-(Datos!U9+Datos!AI9))/(Datos!U9+Datos!AI9))
     ),IF(J_V="SI",(Datos!K9-Datos!U9)/Datos!U9,(Datos!K9+Datos!AA9-(Datos!U9+Datos!AI9))/(Datos!U9+Datos!AI9))," - ")</f>
        <v>-4.5395894428152492E-2</v>
      </c>
      <c r="E9" s="459">
        <f>IF(ISNUMBER(
   IF(J_V="SI",(Datos!L9-Datos!V9)/Datos!V9,(Datos!L9+Datos!AB9-(Datos!V9+Datos!AJ9))/(Datos!V9+Datos!AJ9))
     ),IF(J_V="SI",(Datos!L9-Datos!V9)/Datos!V9,(Datos!L9+Datos!AB9-(Datos!V9+Datos!AJ9))/(Datos!V9+Datos!AJ9))," - ")</f>
        <v>0.31993299832495814</v>
      </c>
      <c r="F9" s="459">
        <f>IF(ISNUMBER((Datos!M9-Datos!W9)/Datos!W9),(Datos!M9-Datos!W9)/Datos!W9," - ")</f>
        <v>-7.407407407407407E-2</v>
      </c>
      <c r="G9" s="460">
        <f>IF(ISNUMBER((Datos!N9-Datos!X9)/Datos!X9),(Datos!N9-Datos!X9)/Datos!X9," - ")</f>
        <v>-0.14062000639181849</v>
      </c>
      <c r="H9" s="458">
        <f>IF(ISNUMBER(((NºAsuntos!G9/NºAsuntos!E9)-Datos!BD9)/Datos!BD9),((NºAsuntos!G9/NºAsuntos!E9)-Datos!BD9)/Datos!BD9," - ")</f>
        <v>-0.10244359834308145</v>
      </c>
      <c r="I9" s="459">
        <f>IF(ISNUMBER(((NºAsuntos!I9/NºAsuntos!G9)-Datos!BE9)/Datos!BE9),((NºAsuntos!I9/NºAsuntos!G9)-Datos!BE9)/Datos!BE9," - ")</f>
        <v>0.38270199197840593</v>
      </c>
      <c r="J9" s="464">
        <f>IF(ISNUMBER((('Resol  Asuntos'!D9/NºAsuntos!G9)-Datos!BF9)/Datos!BF9),(('Resol  Asuntos'!D9/NºAsuntos!G9)-Datos!BF9)/Datos!BF9," - ")</f>
        <v>-0.43922847813535465</v>
      </c>
      <c r="K9" s="465">
        <f>IF(ISNUMBER((((NºAsuntos!C9+NºAsuntos!E9)/NºAsuntos!G9)-Datos!BG9)/Datos!BG9),(((NºAsuntos!C9+NºAsuntos!E9)/NºAsuntos!G9)-Datos!BG9)/Datos!BG9," - ")</f>
        <v>0.22254665374689359</v>
      </c>
    </row>
    <row r="10" spans="1:11">
      <c r="A10" s="405" t="str">
        <f>Datos!A10</f>
        <v>Jdos. Violencia contra la mujer</v>
      </c>
      <c r="B10" s="458">
        <f>IF(ISNUMBER((Datos!I10-Datos!S10)/Datos!S10),(Datos!I10-Datos!S10)/Datos!S10," - ")</f>
        <v>-7.586206896551724E-2</v>
      </c>
      <c r="C10" s="459">
        <f>IF(ISNUMBER((Datos!J10-Datos!T10)/Datos!T10),(Datos!J10-Datos!T10)/Datos!T10," - ")</f>
        <v>0.17982456140350878</v>
      </c>
      <c r="D10" s="459">
        <f>IF(ISNUMBER((Datos!K10-Datos!U10)/Datos!U10),(Datos!K10-Datos!U10)/Datos!U10," - ")</f>
        <v>-0.12393162393162394</v>
      </c>
      <c r="E10" s="459">
        <f>IF(ISNUMBER((Datos!L10-Datos!V10)/Datos!V10),(Datos!L10-Datos!V10)/Datos!V10," - ")</f>
        <v>0.45522388059701491</v>
      </c>
      <c r="F10" s="459">
        <f>IF(ISNUMBER((Datos!M10-Datos!W10)/Datos!W10),(Datos!M10-Datos!W10)/Datos!W10," - ")</f>
        <v>-0.19148936170212766</v>
      </c>
      <c r="G10" s="460">
        <f>IF(ISNUMBER((Datos!N10-Datos!X10)/Datos!X10),(Datos!N10-Datos!X10)/Datos!X10," - ")</f>
        <v>-0.10638297872340426</v>
      </c>
      <c r="H10" s="458">
        <f>IF(ISNUMBER(((NºAsuntos!G10/NºAsuntos!E10)-Datos!BD10)/Datos!BD10),((NºAsuntos!G10/NºAsuntos!E10)-Datos!BD10)/Datos!BD10," - ")</f>
        <v>-0.25745877418739876</v>
      </c>
      <c r="I10" s="459">
        <f>IF(ISNUMBER(((NºAsuntos!I10/NºAsuntos!G10)-Datos!BE10)/Datos!BE10),((NºAsuntos!I10/NºAsuntos!G10)-Datos!BE10)/Datos!BE10," - ")</f>
        <v>0.66108481980342193</v>
      </c>
      <c r="J10" s="464">
        <f>IF(ISNUMBER((('Resol  Asuntos'!D10/NºAsuntos!G10)-Datos!BF10)/Datos!BF10),(('Resol  Asuntos'!D10/NºAsuntos!G10)-Datos!BF10)/Datos!BF10," - ")</f>
        <v>-7.711468604047747E-2</v>
      </c>
      <c r="K10" s="465">
        <f>IF(ISNUMBER((((NºAsuntos!C10+NºAsuntos!E10)/NºAsuntos!G10)-Datos!BG10)/Datos!BG10),(((NºAsuntos!C10+NºAsuntos!E10)/NºAsuntos!G10)-Datos!BG10)/Datos!BG10," - ")</f>
        <v>0.23327012358595425</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-0.31234413965087282</v>
      </c>
      <c r="C11" s="459">
        <f>IF(ISNUMBER(
   IF(J_V="SI",(Datos!J11-Datos!T11)/Datos!T11,(Datos!J11+Datos!Z11-(Datos!T11+Datos!AH11))/(Datos!T11+Datos!AH11))
     ),IF(J_V="SI",(Datos!J11-Datos!T11)/Datos!T11,(Datos!J11+Datos!Z11-(Datos!T11+Datos!AH11))/(Datos!T11+Datos!AH11))," - ")</f>
        <v>0.12140008861320337</v>
      </c>
      <c r="D11" s="459">
        <f>IF(ISNUMBER(
   IF(J_V="SI",(Datos!K11-Datos!U11)/Datos!U11,(Datos!K11+Datos!AA11-(Datos!U11+Datos!AI11))/(Datos!U11+Datos!AI11))
     ),IF(J_V="SI",(Datos!K11-Datos!U11)/Datos!U11,(Datos!K11+Datos!AA11-(Datos!U11+Datos!AI11))/(Datos!U11+Datos!AI11))," - ")</f>
        <v>-0.11856417693981146</v>
      </c>
      <c r="E11" s="459">
        <f>IF(ISNUMBER(
   IF(J_V="SI",(Datos!L11-Datos!V11)/Datos!V11,(Datos!L11+Datos!AB11-(Datos!V11+Datos!AJ11))/(Datos!V11+Datos!AJ11))
     ),IF(J_V="SI",(Datos!L11-Datos!V11)/Datos!V11,(Datos!L11+Datos!AB11-(Datos!V11+Datos!AJ11))/(Datos!V11+Datos!AJ11))," - ")</f>
        <v>9.0661831368993653E-2</v>
      </c>
      <c r="F11" s="459">
        <f>IF(ISNUMBER((Datos!M11-Datos!W11)/Datos!W11),(Datos!M11-Datos!W11)/Datos!W11," - ")</f>
        <v>-0.15474642392717816</v>
      </c>
      <c r="G11" s="460">
        <f>IF(ISNUMBER((Datos!N11-Datos!X11)/Datos!X11),(Datos!N11-Datos!X11)/Datos!X11," - ")</f>
        <v>0.1213546566321731</v>
      </c>
      <c r="H11" s="458">
        <f>IF(ISNUMBER(((NºAsuntos!G11/NºAsuntos!E11)-Datos!BD11)/Datos!BD11),((NºAsuntos!G11/NºAsuntos!E11)-Datos!BD11)/Datos!BD11," - ")</f>
        <v>-0.21398630871321794</v>
      </c>
      <c r="I11" s="459">
        <f>IF(ISNUMBER(((NºAsuntos!I11/NºAsuntos!G11)-Datos!BE11)/Datos!BE11),((NºAsuntos!I11/NºAsuntos!G11)-Datos!BE11)/Datos!BE11," - ")</f>
        <v>0.23736953143384798</v>
      </c>
      <c r="J11" s="464">
        <f>IF(ISNUMBER((('Resol  Asuntos'!D11/NºAsuntos!G11)-Datos!BF11)/Datos!BF11),(('Resol  Asuntos'!D11/NºAsuntos!G11)-Datos!BF11)/Datos!BF11," - ")</f>
        <v>-0.30627172617101228</v>
      </c>
      <c r="K11" s="465">
        <f>IF(ISNUMBER((((NºAsuntos!C11+NºAsuntos!E11)/NºAsuntos!G11)-Datos!BG11)/Datos!BG11),(((NºAsuntos!C11+NºAsuntos!E11)/NºAsuntos!G11)-Datos!BG11)/Datos!BG11," - ")</f>
        <v>6.7811083442510869E-2</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0.20943111260278571</v>
      </c>
      <c r="C13" s="858">
        <f>IF(ISNUMBER(
   IF(J_V="SI",(Datos!J13-Datos!T13)/Datos!T13,(Datos!J13+Datos!Z13-(Datos!T13+Datos!AH13))/(Datos!T13+Datos!AH13))
     ),IF(J_V="SI",(Datos!J13-Datos!T13)/Datos!T13,(Datos!J13+Datos!Z13-(Datos!T13+Datos!AH13))/(Datos!T13+Datos!AH13))," - ")</f>
        <v>7.5929426591052299E-2</v>
      </c>
      <c r="D13" s="858">
        <f>IF(ISNUMBER(
   IF(J_V="SI",(Datos!K13-Datos!U13)/Datos!U13,(Datos!K13+Datos!AA13-(Datos!U13+Datos!AI13))/(Datos!U13+Datos!AI13))
     ),IF(J_V="SI",(Datos!K13-Datos!U13)/Datos!U13,(Datos!K13+Datos!AA13-(Datos!U13+Datos!AI13))/(Datos!U13+Datos!AI13))," - ")</f>
        <v>-6.4513328123643313E-2</v>
      </c>
      <c r="E13" s="858">
        <f>IF(ISNUMBER(
   IF(J_V="SI",(Datos!L13-Datos!V13)/Datos!V13,(Datos!L13+Datos!AB13-(Datos!V13+Datos!AJ13))/(Datos!V13+Datos!AJ13))
     ),IF(J_V="SI",(Datos!L13-Datos!V13)/Datos!V13,(Datos!L13+Datos!AB13-(Datos!V13+Datos!AJ13))/(Datos!V13+Datos!AJ13))," - ")</f>
        <v>0.28735951158595807</v>
      </c>
      <c r="F13" s="859">
        <f>IF(ISNUMBER((Datos!M13-Datos!W13)/Datos!W13),(Datos!M13-Datos!W13)/Datos!W13," - ")</f>
        <v>-0.10142215568862276</v>
      </c>
      <c r="G13" s="860">
        <f>IF(ISNUMBER((Datos!N13-Datos!X13)/Datos!X13),(Datos!N13-Datos!X13)/Datos!X13," - ")</f>
        <v>-7.4895006999533359E-2</v>
      </c>
      <c r="H13" s="860">
        <f>IF(ISNUMBER(((NºAsuntos!G13/NºAsuntos!E13)-Datos!BD13)/Datos!BD13),((NºAsuntos!G13/NºAsuntos!E13)-Datos!BD13)/Datos!BD13," - ")</f>
        <v>-0.13053156763234075</v>
      </c>
      <c r="I13" s="860">
        <f>IF(ISNUMBER(((NºAsuntos!I13/NºAsuntos!G13)-Datos!BE13)/Datos!BE13),((NºAsuntos!I13/NºAsuntos!G13)-Datos!BE13)/Datos!BE13," - ")</f>
        <v>0.37613880591567472</v>
      </c>
      <c r="J13" s="860">
        <f>IF(ISNUMBER((('Resol  Asuntos'!D13/NºAsuntos!G13)-Datos!BF13)/Datos!BF13),(('Resol  Asuntos'!D13/NºAsuntos!G13)-Datos!BF13)/Datos!BF13," - ")</f>
        <v>-0.40117160000731089</v>
      </c>
      <c r="K13" s="860">
        <f>IF(ISNUMBER((((NºAsuntos!C13+NºAsuntos!E13)/NºAsuntos!G13)-Datos!BG13)/Datos!BG13),(((NºAsuntos!C13+NºAsuntos!E13)/NºAsuntos!G13)-Datos!BG13)/Datos!BG13," - ")</f>
        <v>0.19571357074967843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4.209328782707622E-2</v>
      </c>
      <c r="C15" s="459">
        <f>IF(ISNUMBER(
   IF(D_I="SI",(Datos!J15-Datos!T15)/Datos!T15,(Datos!J15+Datos!AD15-(Datos!T15+Datos!AL15))/(Datos!T15+Datos!AL15))
     ),IF(D_I="SI",(Datos!J15-Datos!T15)/Datos!T15,(Datos!J15+Datos!AD15-(Datos!T15+Datos!AL15))/(Datos!T15+Datos!AL15))," - ")</f>
        <v>-6.5430407754714995E-2</v>
      </c>
      <c r="D15" s="459">
        <f>IF(ISNUMBER(
   IF(D_I="SI",(Datos!K15-Datos!U15)/Datos!U15,(Datos!K15+Datos!AE15-(Datos!U15+Datos!AM15))/(Datos!U15+Datos!AM15))
     ),IF(D_I="SI",(Datos!K15-Datos!U15)/Datos!U15,(Datos!K15+Datos!AE15-(Datos!U15+Datos!AM15))/(Datos!U15+Datos!AM15))," - ")</f>
        <v>-0.13075795644891122</v>
      </c>
      <c r="E15" s="459">
        <f>IF(ISNUMBER(
   IF(D_I="SI",(Datos!L15-Datos!V15)/Datos!V15,(Datos!L15+Datos!AF15-(Datos!V15+Datos!AN15))/(Datos!V15+Datos!AN15))
     ),IF(D_I="SI",(Datos!L15-Datos!V15)/Datos!V15,(Datos!L15+Datos!AF15-(Datos!V15+Datos!AN15))/(Datos!V15+Datos!AN15))," - ")</f>
        <v>0.35207423580786024</v>
      </c>
      <c r="F15" s="459">
        <f>IF(ISNUMBER((Datos!M15-Datos!W15)/Datos!W15),(Datos!M15-Datos!W15)/Datos!W15," - ")</f>
        <v>-8.9182058047493407E-2</v>
      </c>
      <c r="G15" s="460">
        <f>IF(ISNUMBER((Datos!N15-Datos!X15)/Datos!X15),(Datos!N15-Datos!X15)/Datos!X15," - ")</f>
        <v>-0.1357370095440085</v>
      </c>
      <c r="H15" s="458">
        <f>IF(ISNUMBER(((NºAsuntos!G15/NºAsuntos!E15)-Datos!BD15)/Datos!BD15),((NºAsuntos!G15/NºAsuntos!E15)-Datos!BD15)/Datos!BD15," - ")</f>
        <v>-6.9901213602775125E-2</v>
      </c>
      <c r="I15" s="459">
        <f>IF(ISNUMBER(((NºAsuntos!I15/NºAsuntos!G15)-Datos!BE15)/Datos!BE15),((NºAsuntos!I15/NºAsuntos!G15)-Datos!BE15)/Datos!BE15," - ")</f>
        <v>0.5554634590433194</v>
      </c>
      <c r="J15" s="464">
        <f>IF(ISNUMBER((('Resol  Asuntos'!D15/NºAsuntos!G15)-Datos!BF15)/Datos!BF15),(('Resol  Asuntos'!D15/NºAsuntos!G15)-Datos!BF15)/Datos!BF15," - ")</f>
        <v>4.7830059199125974E-2</v>
      </c>
      <c r="K15" s="465">
        <f>IF(ISNUMBER((((NºAsuntos!C15+NºAsuntos!E15)/NºAsuntos!G15)-Datos!BG15)/Datos!BG15),(((NºAsuntos!C15+NºAsuntos!E15)/NºAsuntos!G15)-Datos!BG15)/Datos!BG15," - ")</f>
        <v>9.4486239450224344E-2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-0.18100890207715134</v>
      </c>
      <c r="C17" s="459">
        <f>IF(ISNUMBER(
   IF(D_I="SI",(Datos!J17-Datos!T17)/Datos!T17,(Datos!J17+Datos!AD17-(Datos!T17+Datos!AL17))/(Datos!T17+Datos!AL17))
     ),IF(D_I="SI",(Datos!J17-Datos!T17)/Datos!T17,(Datos!J17+Datos!AD17-(Datos!T17+Datos!AL17))/(Datos!T17+Datos!AL17))," - ")</f>
        <v>9.0247452692867547E-2</v>
      </c>
      <c r="D17" s="459">
        <f>IF(ISNUMBER(
   IF(D_I="SI",(Datos!K17-Datos!U17)/Datos!U17,(Datos!K17+Datos!AE17-(Datos!U17+Datos!AM17))/(Datos!U17+Datos!AM17))
     ),IF(D_I="SI",(Datos!K17-Datos!U17)/Datos!U17,(Datos!K17+Datos!AE17-(Datos!U17+Datos!AM17))/(Datos!U17+Datos!AM17))," - ")</f>
        <v>6.2543432939541352E-3</v>
      </c>
      <c r="E17" s="459">
        <f>IF(ISNUMBER(
   IF(D_I="SI",(Datos!L17-Datos!V17)/Datos!V17,(Datos!L17+Datos!AF17-(Datos!V17+Datos!AN17))/(Datos!V17+Datos!AN17))
     ),IF(D_I="SI",(Datos!L17-Datos!V17)/Datos!V17,(Datos!L17+Datos!AF17-(Datos!V17+Datos!AN17))/(Datos!V17+Datos!AN17))," - ")</f>
        <v>0.18478260869565216</v>
      </c>
      <c r="F17" s="459">
        <f>IF(ISNUMBER((Datos!M17-Datos!W17)/Datos!W17),(Datos!M17-Datos!W17)/Datos!W17," - ")</f>
        <v>0.32380952380952382</v>
      </c>
      <c r="G17" s="460">
        <f>IF(ISNUMBER((Datos!N17-Datos!X17)/Datos!X17),(Datos!N17-Datos!X17)/Datos!X17," - ")</f>
        <v>1.95822454308094E-2</v>
      </c>
      <c r="H17" s="458">
        <f>IF(ISNUMBER(((NºAsuntos!G17/NºAsuntos!E17)-Datos!BD17)/Datos!BD17),((NºAsuntos!G17/NºAsuntos!E17)-Datos!BD17)/Datos!BD17," - ")</f>
        <v>-7.7040408754410594E-2</v>
      </c>
      <c r="I17" s="459">
        <f>IF(ISNUMBER(((NºAsuntos!I17/NºAsuntos!G17)-Datos!BE17)/Datos!BE17),((NºAsuntos!I17/NºAsuntos!G17)-Datos!BE17)/Datos!BE17," - ")</f>
        <v>0.17741862839298569</v>
      </c>
      <c r="J17" s="464">
        <f>IF(ISNUMBER((('Resol  Asuntos'!D17/NºAsuntos!G17)-Datos!BF17)/Datos!BF17),(('Resol  Asuntos'!D17/NºAsuntos!G17)-Datos!BF17)/Datos!BF17," - ")</f>
        <v>0.31558142594054212</v>
      </c>
      <c r="K17" s="465">
        <f>IF(ISNUMBER((((NºAsuntos!C17+NºAsuntos!E17)/NºAsuntos!G17)-Datos!BG17)/Datos!BG17),(((NºAsuntos!C17+NºAsuntos!E17)/NºAsuntos!G17)-Datos!BG17)/Datos!BG17," - ")</f>
        <v>3.0376246000045067E-2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6.205250596658711E-3</v>
      </c>
      <c r="C18" s="858">
        <f>IF(ISNUMBER(
   IF(Criterios!B14="SI",(Datos!J18-Datos!T18)/Datos!T18,(Datos!J18+Datos!AD18-(Datos!T18+Datos!AL18))/(Datos!T18+Datos!AL18))
     ),IF(Criterios!B14="SI",(Datos!J18-Datos!T18)/Datos!T18,(Datos!J18+Datos!AD18-(Datos!T18+Datos!AL18))/(Datos!T18+Datos!AL18))," - ")</f>
        <v>-4.5743212149102624E-2</v>
      </c>
      <c r="D18" s="858">
        <f>IF(ISNUMBER(
   IF(Criterios!B14="SI",(Datos!K18-Datos!U18)/Datos!U18,(Datos!K18+Datos!AE18-(Datos!U18+Datos!AM18))/(Datos!U18+Datos!AM18))
     ),IF(Criterios!B14="SI",(Datos!K18-Datos!U18)/Datos!U18,(Datos!K18+Datos!AE18-(Datos!U18+Datos!AM18))/(Datos!U18+Datos!AM18))," - ")</f>
        <v>-0.11281957965608225</v>
      </c>
      <c r="E18" s="858">
        <f>IF(ISNUMBER(
   IF(Criterios!B14="SI",(Datos!L18-Datos!V18)/Datos!V18,(Datos!L18+Datos!AF18-(Datos!V18+Datos!AN18))/(Datos!V18+Datos!AN18))
     ),IF(Criterios!B14="SI",(Datos!L18-Datos!V18)/Datos!V18,(Datos!L18+Datos!AF18-(Datos!V18+Datos!AN18))/(Datos!V18+Datos!AN18))," - ")</f>
        <v>0.33017077798861483</v>
      </c>
      <c r="F18" s="859">
        <f>IF(ISNUMBER((Datos!M18-Datos!W18)/Datos!W18),(Datos!M18-Datos!W18)/Datos!W18," - ")</f>
        <v>-6.7500000000000004E-2</v>
      </c>
      <c r="G18" s="860">
        <f>IF(ISNUMBER((Datos!N18-Datos!X18)/Datos!X18),(Datos!N18-Datos!X18)/Datos!X18," - ")</f>
        <v>-0.11403028644407955</v>
      </c>
      <c r="H18" s="860">
        <f>IF(ISNUMBER(((NºAsuntos!G18/NºAsuntos!E18)-Datos!BD18)/Datos!BD18),((NºAsuntos!G18/NºAsuntos!E18)-Datos!BD18)/Datos!BD18," - ")</f>
        <v>-7.0291737361432544E-2</v>
      </c>
      <c r="I18" s="860">
        <f>IF(ISNUMBER(((NºAsuntos!I18/NºAsuntos!G18)-Datos!BE18)/Datos!BE18),((NºAsuntos!I18/NºAsuntos!G18)-Datos!BE18)/Datos!BE18," - ")</f>
        <v>0.49932386635964149</v>
      </c>
      <c r="J18" s="860">
        <f>IF(ISNUMBER((('Resol  Asuntos'!D18/NºAsuntos!G18)-Datos!BF18)/Datos!BF18),(('Resol  Asuntos'!D18/NºAsuntos!G18)-Datos!BF18)/Datos!BF18," - ")</f>
        <v>5.1082709465695902E-2</v>
      </c>
      <c r="K18" s="860">
        <f>IF(ISNUMBER((((NºAsuntos!C18+NºAsuntos!E18)/NºAsuntos!G18)-Datos!BG18)/Datos!BG18),(((NºAsuntos!C18+NºAsuntos!E18)/NºAsuntos!G18)-Datos!BG18)/Datos!BG18," - ")</f>
        <v>8.5071648238673858E-2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0.15656816488701267</v>
      </c>
      <c r="C19" s="805">
        <f>IF(ISNUMBER(
   IF(J_V="SI",(Datos!J19-Datos!T19)/Datos!T19,(Datos!J19+Datos!Z19-(Datos!T19+Datos!AH19))/(Datos!T19+Datos!AH19))
     ),IF(J_V="SI",(Datos!J19-Datos!T19)/Datos!T19,(Datos!J19+Datos!Z19-(Datos!T19+Datos!AH19))/(Datos!T19+Datos!AH19))," - ")</f>
        <v>1.9820890454564748E-2</v>
      </c>
      <c r="D19" s="805">
        <f>IF(ISNUMBER(
   IF(J_V="SI",(Datos!K19-Datos!U19)/Datos!U19,(Datos!K19+Datos!AA19-(Datos!U19+Datos!AI19))/(Datos!U19+Datos!AI19))
     ),IF(J_V="SI",(Datos!K19-Datos!U19)/Datos!U19,(Datos!K19+Datos!AA19-(Datos!U19+Datos!AI19))/(Datos!U19+Datos!AI19))," - ")</f>
        <v>-8.8102008174871155E-2</v>
      </c>
      <c r="E19" s="805">
        <f>IF(ISNUMBER(
   IF(J_V="SI",(Datos!L19-Datos!V19)/Datos!V19,(Datos!L19+Datos!AB19-(Datos!V19+Datos!AJ19))/(Datos!V19+Datos!AJ19))
     ),IF(J_V="SI",(Datos!L19-Datos!V19)/Datos!V19,(Datos!L19+Datos!AB19-(Datos!V19+Datos!AJ19))/(Datos!V19+Datos!AJ19))," - ")</f>
        <v>0.29704777241009123</v>
      </c>
      <c r="F19" s="806">
        <f>IF(ISNUMBER((Datos!M19-Datos!W19)/Datos!W19),(Datos!M19-Datos!W19)/Datos!W19," - ")</f>
        <v>-8.690068493150685E-2</v>
      </c>
      <c r="G19" s="807">
        <f>IF(ISNUMBER((Datos!N19-Datos!X19)/Datos!X19),(Datos!N19-Datos!X19)/Datos!X19," - ")</f>
        <v>-9.6856762567830448E-2</v>
      </c>
      <c r="H19" s="808">
        <f>IF(ISNUMBER((Tasas!B19-Datos!BD19)/Datos!BD19),(Tasas!B19-Datos!BD19)/Datos!BD19," - ")</f>
        <v>-0.10582534603829452</v>
      </c>
      <c r="I19" s="809">
        <f>IF(ISNUMBER((Tasas!C19-Datos!BE19)/Datos!BE19),(Tasas!C19-Datos!BE19)/Datos!BE19," - ")</f>
        <v>0.42236059738885917</v>
      </c>
      <c r="J19" s="810">
        <f>IF(ISNUMBER((Tasas!D19-Datos!BF19)/Datos!BF19),(Tasas!D19-Datos!BF19)/Datos!BF19," - ")</f>
        <v>-0.25578192243614661</v>
      </c>
      <c r="K19" s="810">
        <f>IF(ISNUMBER((Tasas!E19-Datos!BG19)/Datos!BG19),(Tasas!E19-Datos!BG19)/Datos!BG19," - ")</f>
        <v>0.15655216778140948</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FJ6l368PwFDBHdGYJObDTjrIvRD3NWJeXp9EglsjrT9sC6IE50fCxtyO5sgVnM4Ie1KLHv+S1UYAZej0zAbRaA==" saltValue="hqFE9JBe+z/epvZd/89RE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CADIZ</v>
      </c>
    </row>
    <row r="4" spans="1:7" ht="11.25" customHeight="1" thickBot="1">
      <c r="B4" s="394" t="str">
        <f>Criterios!A11 &amp;"  "&amp;Criterios!B11</f>
        <v>Resumenes por Partidos Judiciales  JEREZ DE LA FRONTERA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0.74935543278084715</v>
      </c>
      <c r="C9" s="446">
        <f>IF(ISNUMBER(NºAsuntos!I9/NºAsuntos!G9),NºAsuntos!I9/NºAsuntos!G9," - ")</f>
        <v>0.96829687884000981</v>
      </c>
      <c r="D9" s="447">
        <f>IF(ISNUMBER('Resol  Asuntos'!D9/NºAsuntos!G9),'Resol  Asuntos'!D9/NºAsuntos!G9," - ")</f>
        <v>0.2058245269107889</v>
      </c>
      <c r="E9" s="448">
        <f>IF(ISNUMBER((NºAsuntos!C9+NºAsuntos!E9)/NºAsuntos!G9),(NºAsuntos!C9+NºAsuntos!E9)/NºAsuntos!G9," - ")</f>
        <v>2.0680756942737775</v>
      </c>
      <c r="G9" s="466"/>
    </row>
    <row r="10" spans="1:7">
      <c r="A10" s="405" t="str">
        <f>Datos!A10</f>
        <v>Jdos. Violencia contra la mujer</v>
      </c>
      <c r="B10" s="445">
        <f>IF(ISNUMBER(NºAsuntos!G10/NºAsuntos!E10),NºAsuntos!G10/NºAsuntos!E10," - ")</f>
        <v>0.76208178438661711</v>
      </c>
      <c r="C10" s="446">
        <f>IF(ISNUMBER(NºAsuntos!I10/NºAsuntos!G10),NºAsuntos!I10/NºAsuntos!G10," - ")</f>
        <v>0.95121951219512191</v>
      </c>
      <c r="D10" s="447">
        <f>IF(ISNUMBER('Resol  Asuntos'!D10/NºAsuntos!G10),'Resol  Asuntos'!D10/NºAsuntos!G10," - ")</f>
        <v>0.37073170731707317</v>
      </c>
      <c r="E10" s="448">
        <f>IF(ISNUMBER((NºAsuntos!C10+NºAsuntos!E10)/NºAsuntos!G10),(NºAsuntos!C10+NºAsuntos!E10)/NºAsuntos!G10," - ")</f>
        <v>1.9658536585365853</v>
      </c>
      <c r="G10" s="466"/>
    </row>
    <row r="11" spans="1:7">
      <c r="A11" s="405" t="str">
        <f>Datos!A11</f>
        <v xml:space="preserve">Jdos. Familia                                   </v>
      </c>
      <c r="B11" s="445">
        <f>IF(ISNUMBER(NºAsuntos!G11/NºAsuntos!E11),NºAsuntos!G11/NºAsuntos!E11," - ")</f>
        <v>0.96048992493085739</v>
      </c>
      <c r="C11" s="446">
        <f>IF(ISNUMBER(NºAsuntos!I11/NºAsuntos!G11),NºAsuntos!I11/NºAsuntos!G11," - ")</f>
        <v>0.4948580830933772</v>
      </c>
      <c r="D11" s="447">
        <f>IF(ISNUMBER('Resol  Asuntos'!D11/NºAsuntos!G11),'Resol  Asuntos'!D11/NºAsuntos!G11," - ")</f>
        <v>0.26737967914438504</v>
      </c>
      <c r="E11" s="448">
        <f>IF(ISNUMBER((NºAsuntos!C11+NºAsuntos!E11)/NºAsuntos!G11),(NºAsuntos!C11+NºAsuntos!E11)/NºAsuntos!G11," - ")</f>
        <v>1.4948580830933773</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0.78872620790629577</v>
      </c>
      <c r="C13" s="862">
        <f>IF(ISNUMBER(NºAsuntos!I13/NºAsuntos!G13),NºAsuntos!I13/NºAsuntos!G13," - ")</f>
        <v>0.86114720623723784</v>
      </c>
      <c r="D13" s="863">
        <f>IF(ISNUMBER('Resol  Asuntos'!D13/NºAsuntos!G13),'Resol  Asuntos'!D13/NºAsuntos!G13," - ")</f>
        <v>0.22285130870614442</v>
      </c>
      <c r="E13" s="864">
        <f>IF(ISNUMBER((NºAsuntos!C13+NºAsuntos!E13)/NºAsuntos!G13),(NºAsuntos!C13+NºAsuntos!E13)/NºAsuntos!G13," - ")</f>
        <v>1.9367922777055875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0.93607666290868097</v>
      </c>
      <c r="C15" s="446">
        <f>IF(ISNUMBER(NºAsuntos!I15/NºAsuntos!G15),NºAsuntos!I15/NºAsuntos!G15," - ")</f>
        <v>0.29832590629892808</v>
      </c>
      <c r="D15" s="447">
        <f>IF(ISNUMBER('Resol  Asuntos'!D15/NºAsuntos!G15),'Resol  Asuntos'!D15/NºAsuntos!G15," - ")</f>
        <v>0.20787667108274119</v>
      </c>
      <c r="E15" s="448">
        <f>IF(ISNUMBER((NºAsuntos!C15+NºAsuntos!E15)/NºAsuntos!G15),(NºAsuntos!C15+NºAsuntos!E15)/NºAsuntos!G15," - ")</f>
        <v>1.2889317114296037</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0.96662216288384517</v>
      </c>
      <c r="C17" s="446">
        <f>IF(ISNUMBER(NºAsuntos!I17/NºAsuntos!G17),NºAsuntos!I17/NºAsuntos!G17," - ")</f>
        <v>0.22582872928176795</v>
      </c>
      <c r="D17" s="447">
        <f>IF(ISNUMBER('Resol  Asuntos'!D17/NºAsuntos!G17),'Resol  Asuntos'!D17/NºAsuntos!G17," - ")</f>
        <v>9.5994475138121552E-2</v>
      </c>
      <c r="E17" s="448">
        <f>IF(ISNUMBER((NºAsuntos!C17+NºAsuntos!E17)/NºAsuntos!G17),(NºAsuntos!C17+NºAsuntos!E17)/NºAsuntos!G17," - ")</f>
        <v>1.2251381215469612</v>
      </c>
      <c r="G17" s="466"/>
    </row>
    <row r="18" spans="1:7" ht="14.25" thickTop="1" thickBot="1">
      <c r="A18" s="851" t="str">
        <f>Datos!A18</f>
        <v>TOTAL</v>
      </c>
      <c r="B18" s="861">
        <f>IF(ISNUMBER(NºAsuntos!G18/NºAsuntos!E18),NºAsuntos!G18/NºAsuntos!E18," - ")</f>
        <v>0.94048996913580252</v>
      </c>
      <c r="C18" s="862">
        <f>IF(ISNUMBER(NºAsuntos!I18/NºAsuntos!G18),NºAsuntos!I18/NºAsuntos!G18," - ")</f>
        <v>0.28756025023074555</v>
      </c>
      <c r="D18" s="865">
        <f>IF(ISNUMBER('Resol  Asuntos'!D18/NºAsuntos!G18),'Resol  Asuntos'!D18/NºAsuntos!G18," - ")</f>
        <v>0.19126243462209006</v>
      </c>
      <c r="E18" s="864">
        <f>IF(ISNUMBER((NºAsuntos!C18+NºAsuntos!E18)/NºAsuntos!G18),(NºAsuntos!C18+NºAsuntos!E18)/NºAsuntos!G18," - ")</f>
        <v>1.2794585170751718</v>
      </c>
      <c r="G18" s="466"/>
    </row>
    <row r="19" spans="1:7" ht="15.75" customHeight="1" thickTop="1" thickBot="1">
      <c r="A19" s="796" t="str">
        <f>Datos!A19</f>
        <v>TOTAL JURISDICCIONES</v>
      </c>
      <c r="B19" s="811">
        <f>IF(ISNUMBER(NºAsuntos!G19/NºAsuntos!E19),NºAsuntos!G19/NºAsuntos!E19," - ")</f>
        <v>0.85421175295488594</v>
      </c>
      <c r="C19" s="812">
        <f>IF(ISNUMBER(NºAsuntos!I19/NºAsuntos!G19),NºAsuntos!I19/NºAsuntos!G19," - ")</f>
        <v>0.58864799025578562</v>
      </c>
      <c r="D19" s="813">
        <f>IF(ISNUMBER('Resol  Asuntos'!D19/NºAsuntos!G19),'Resol  Asuntos'!D19/NºAsuntos!G19," - ")</f>
        <v>0.20784409257003655</v>
      </c>
      <c r="E19" s="814">
        <f>IF(ISNUMBER((NºAsuntos!C19+NºAsuntos!E19)/NºAsuntos!G19),(NºAsuntos!C19+NºAsuntos!E19)/NºAsuntos!G19," - ")</f>
        <v>1.6245066991473813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RyvEGmToYtN+OfhC3pnWk1QkehJ49wx0mRGLeVXGDLCtND9PkvGoKLPU3XEzjRQa03PhlwQftLsvxo4WYQN9sA==" saltValue="Oc1S1/hrX2U73V0tuJhze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CADIZ</v>
      </c>
      <c r="N2" s="265" t="str">
        <f>Criterios!A11 &amp;"  "&amp;Criterios!B11</f>
        <v>Resumenes por Partidos Judiciales  JEREZ DE LA FRONTERA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6</v>
      </c>
      <c r="B9" s="180" t="s">
        <v>246</v>
      </c>
      <c r="C9" s="163" t="str">
        <f>Datos!A9</f>
        <v xml:space="preserve">Jdos. 1ª Instancia   </v>
      </c>
      <c r="D9" s="163"/>
      <c r="E9" s="1028">
        <f>IF(ISNUMBER(Datos!AQ9),Datos!AQ9," - ")</f>
        <v>6</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3030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4913</v>
      </c>
      <c r="Y9" s="337">
        <f>SUM(W9:X9)</f>
        <v>4913</v>
      </c>
      <c r="Z9" s="338" t="str">
        <f>IF(ISNUMBER(Datos!CC9),Datos!CC9," - ")</f>
        <v xml:space="preserve"> - </v>
      </c>
      <c r="AA9" s="335" t="str">
        <f>IF(ISNUMBER(IF(J_V="SI",Datos!L9,Datos!L9+Datos!AB9)-IF(Monitorios="SI",Datos!CD9,0)),
                          IF(J_V="SI",Datos!L9,Datos!L9+Datos!AB9)-IF(Monitorios="SI",Datos!CD9,0),
                          " - ")</f>
        <v xml:space="preserve"> - </v>
      </c>
      <c r="AB9" s="337">
        <f>IF(ISNUMBER(Datos!R9),Datos!R9," - ")</f>
        <v>10765</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1675</v>
      </c>
      <c r="AJ9" s="232" t="str">
        <f>IF(ISNUMBER(Datos!BW9),Datos!BW9," - ")</f>
        <v xml:space="preserve"> - </v>
      </c>
      <c r="AK9" s="231" t="str">
        <f>IF(ISNUMBER(Datos!BX9),Datos!BX9," - ")</f>
        <v xml:space="preserve"> - </v>
      </c>
      <c r="AL9" s="246">
        <f>IF(ISNUMBER(NºAsuntos!G9/NºAsuntos!E9),NºAsuntos!G9/NºAsuntos!E9," - ")</f>
        <v>0.74935543278084715</v>
      </c>
      <c r="AM9" s="263">
        <f>IF(ISNUMBER(((NºAsuntos!I9/NºAsuntos!G9)*11)/factor_trimestre),((NºAsuntos!I9/NºAsuntos!G9)*11)/factor_trimestre," - ")</f>
        <v>10.651265667240107</v>
      </c>
      <c r="AN9" s="247">
        <f>IF(ISNUMBER('Resol  Asuntos'!D9/NºAsuntos!G9),'Resol  Asuntos'!D9/NºAsuntos!G9," - ")</f>
        <v>0.2058245269107889</v>
      </c>
      <c r="AO9" s="248">
        <f>IF(ISNUMBER((NºAsuntos!C9+NºAsuntos!E9)/NºAsuntos!G9),(NºAsuntos!C9+NºAsuntos!E9)/NºAsuntos!G9," - ")</f>
        <v>2.0680756942737775</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1</v>
      </c>
      <c r="F10" s="228">
        <f>IF(ISNUMBER(Datos!L10+Datos!K10-Datos!J10-K10),Datos!L10+Datos!K10-Datos!J10-K10," - ")</f>
        <v>131</v>
      </c>
      <c r="G10" s="336">
        <f>IF(ISNUMBER(Datos!I10),Datos!I10," - ")</f>
        <v>134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60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205</v>
      </c>
      <c r="X10" s="229">
        <f>IF(ISNUMBER(Datos!Q10),Datos!Q10," - ")</f>
        <v>103</v>
      </c>
      <c r="Y10" s="337">
        <f t="shared" ref="Y10:Y12" si="0">SUM(W10:X10)</f>
        <v>308</v>
      </c>
      <c r="Z10" s="338" t="str">
        <f>IF(ISNUMBER(Datos!CC10),Datos!CC10," - ")</f>
        <v xml:space="preserve"> - </v>
      </c>
      <c r="AA10" s="335">
        <f>IF(ISNUMBER(Datos!L10),Datos!L10,"-")</f>
        <v>195</v>
      </c>
      <c r="AB10" s="337">
        <f>IF(ISNUMBER(Datos!R10),Datos!R10," - ")</f>
        <v>141</v>
      </c>
      <c r="AC10" s="337">
        <f t="shared" ref="AC10:AC12" si="1">IF(ISNUMBER(AA10+AB10),AA10+AB10," - ")</f>
        <v>336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76</v>
      </c>
      <c r="AJ10" s="234" t="str">
        <f>IF(ISNUMBER(Datos!BW10),Datos!BW10," - ")</f>
        <v xml:space="preserve"> - </v>
      </c>
      <c r="AK10" s="235" t="str">
        <f>IF(ISNUMBER(Datos!BX10),Datos!BX10," - ")</f>
        <v xml:space="preserve"> - </v>
      </c>
      <c r="AL10" s="246">
        <f>IF(ISNUMBER(NºAsuntos!G10/NºAsuntos!E10),NºAsuntos!G10/NºAsuntos!E10," - ")</f>
        <v>0.76208178438661711</v>
      </c>
      <c r="AM10" s="263">
        <f>IF(ISNUMBER(((NºAsuntos!I10/NºAsuntos!G10)*11)/factor_trimestre),((NºAsuntos!I10/NºAsuntos!G10)*11)/factor_trimestre," - ")</f>
        <v>10.463414634146341</v>
      </c>
      <c r="AN10" s="247">
        <f>IF(ISNUMBER('Resol  Asuntos'!D10/NºAsuntos!G10),'Resol  Asuntos'!D10/NºAsuntos!G10," - ")</f>
        <v>0.37073170731707317</v>
      </c>
      <c r="AO10" s="248">
        <f>IF(ISNUMBER((NºAsuntos!C10+NºAsuntos!E10)/NºAsuntos!G10),(NºAsuntos!C10+NºAsuntos!E10)/NºAsuntos!G10," - ")</f>
        <v>1.9658536585365853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2</v>
      </c>
      <c r="B11" s="278" t="s">
        <v>246</v>
      </c>
      <c r="C11" s="7" t="str">
        <f>Datos!A11</f>
        <v xml:space="preserve">Jdos. Familia                                   </v>
      </c>
      <c r="D11" s="7"/>
      <c r="E11" s="1028">
        <f>IF(ISNUMBER(Datos!AQ11),Datos!AQ11," - ")</f>
        <v>2</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338</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219</v>
      </c>
      <c r="Y11" s="337">
        <f t="shared" si="0"/>
        <v>219</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908</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650</v>
      </c>
      <c r="AJ11" s="234" t="str">
        <f>IF(ISNUMBER(Datos!BW11),Datos!BW11," - ")</f>
        <v xml:space="preserve"> - </v>
      </c>
      <c r="AK11" s="235" t="str">
        <f>IF(ISNUMBER(Datos!BX11),Datos!BX11," - ")</f>
        <v xml:space="preserve"> - </v>
      </c>
      <c r="AL11" s="246">
        <f>IF(ISNUMBER(NºAsuntos!G11/NºAsuntos!E11),NºAsuntos!G11/NºAsuntos!E11," - ")</f>
        <v>0.96048992493085739</v>
      </c>
      <c r="AM11" s="263">
        <f>IF(ISNUMBER(((NºAsuntos!I11/NºAsuntos!G11)*11)/factor_trimestre),((NºAsuntos!I11/NºAsuntos!G11)*11)/factor_trimestre," - ")</f>
        <v>5.4434389140271495</v>
      </c>
      <c r="AN11" s="247">
        <f>IF(ISNUMBER('Resol  Asuntos'!D11/NºAsuntos!G11),'Resol  Asuntos'!D11/NºAsuntos!G11," - ")</f>
        <v>0.26737967914438504</v>
      </c>
      <c r="AO11" s="248">
        <f>IF(ISNUMBER((NºAsuntos!C11+NºAsuntos!E11)/NºAsuntos!G11),(NºAsuntos!C11+NºAsuntos!E11)/NºAsuntos!G11," - ")</f>
        <v>1.4948580830933773</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246</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9</v>
      </c>
      <c r="F13" s="868">
        <f t="shared" si="3"/>
        <v>131</v>
      </c>
      <c r="G13" s="869">
        <f t="shared" si="3"/>
        <v>134</v>
      </c>
      <c r="H13" s="868">
        <f t="shared" si="3"/>
        <v>0</v>
      </c>
      <c r="I13" s="870">
        <f t="shared" si="3"/>
        <v>0</v>
      </c>
      <c r="J13" s="870">
        <f t="shared" si="3"/>
        <v>0</v>
      </c>
      <c r="K13" s="870">
        <f t="shared" si="3"/>
        <v>0</v>
      </c>
      <c r="L13" s="870">
        <f t="shared" si="3"/>
        <v>3428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205</v>
      </c>
      <c r="X13" s="870">
        <f t="shared" si="4"/>
        <v>5235</v>
      </c>
      <c r="Y13" s="871">
        <f t="shared" si="4"/>
        <v>5440</v>
      </c>
      <c r="Z13" s="871">
        <f t="shared" si="4"/>
        <v>0</v>
      </c>
      <c r="AA13" s="871">
        <f t="shared" si="4"/>
        <v>195</v>
      </c>
      <c r="AB13" s="871">
        <f t="shared" si="4"/>
        <v>11814</v>
      </c>
      <c r="AC13" s="871">
        <f t="shared" si="4"/>
        <v>336</v>
      </c>
      <c r="AD13" s="871">
        <f t="shared" si="4"/>
        <v>0</v>
      </c>
      <c r="AE13" s="875">
        <f t="shared" si="4"/>
        <v>0</v>
      </c>
      <c r="AF13" s="868">
        <f t="shared" si="4"/>
        <v>0</v>
      </c>
      <c r="AG13" s="876">
        <f t="shared" si="4"/>
        <v>0</v>
      </c>
      <c r="AH13" s="873">
        <f t="shared" si="4"/>
        <v>0</v>
      </c>
      <c r="AI13" s="868">
        <f t="shared" si="4"/>
        <v>2401</v>
      </c>
      <c r="AJ13" s="870">
        <f t="shared" si="4"/>
        <v>0</v>
      </c>
      <c r="AK13" s="873">
        <f>SUBTOTAL(9,AK9:AK12)</f>
        <v>0</v>
      </c>
      <c r="AL13" s="877">
        <f>IF(ISNUMBER(NºAsuntos!G13/NºAsuntos!E13),NºAsuntos!G13/NºAsuntos!E13," - ")</f>
        <v>0.78872620790629577</v>
      </c>
      <c r="AM13" s="877">
        <f>IF(ISNUMBER(((NºAsuntos!I13/NºAsuntos!G13)*11)/factor_trimestre),((NºAsuntos!I13/NºAsuntos!G13)*11)/factor_trimestre," - ")</f>
        <v>9.4726192686096162</v>
      </c>
      <c r="AN13" s="878">
        <f>IF(ISNUMBER('Resol  Asuntos'!D13/NºAsuntos!G13),'Resol  Asuntos'!D13/NºAsuntos!G13," - ")</f>
        <v>0.22285130870614442</v>
      </c>
      <c r="AO13" s="879">
        <f>IF(ISNUMBER((NºAsuntos!C13+NºAsuntos!E13)/NºAsuntos!G13),(NºAsuntos!C13+NºAsuntos!E13)/NºAsuntos!G13," - ")</f>
        <v>1.9367922777055875</v>
      </c>
      <c r="AP13" s="880" t="str">
        <f t="shared" si="2"/>
        <v xml:space="preserve"> - </v>
      </c>
      <c r="AQ13" s="880">
        <f>IF(ISNUMBER((H13-W13+K13)/(F13)),(H13-W13+K13)/(F13)," - ")</f>
        <v>-1.5648854961832062</v>
      </c>
      <c r="AR13" s="881">
        <f>IF(ISNUMBER((Datos!P13-Datos!Q13)/(Datos!R13-Datos!P13+Datos!Q13)),(Datos!P13-Datos!Q13)/(Datos!R13-Datos!P13+Datos!Q13)," - ")</f>
        <v>-0.13266280008809925</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5</v>
      </c>
      <c r="B15" s="278" t="s">
        <v>396</v>
      </c>
      <c r="C15" s="163" t="str">
        <f>Datos!A15</f>
        <v xml:space="preserve">Jdos. Instrucción                               </v>
      </c>
      <c r="D15" s="163"/>
      <c r="E15" s="1028">
        <f>IF(ISNUMBER(Datos!AQ15),Datos!AQ15," - ")</f>
        <v>5</v>
      </c>
      <c r="F15" s="228">
        <f>IF(ISNUMBER(AA15+W15-Datos!J15-K15),AA15+W15-Datos!J15-K15," - ")</f>
        <v>1910</v>
      </c>
      <c r="G15" s="336">
        <f>IF(ISNUMBER(IF(D_I="SI",Datos!I15,Datos!I15+Datos!AC15)),IF(D_I="SI",Datos!I15,Datos!I15+Datos!AC15)," - ")</f>
        <v>1832</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760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8303</v>
      </c>
      <c r="X15" s="229">
        <f>IF(ISNUMBER(Datos!Q15),Datos!Q15," - ")</f>
        <v>746</v>
      </c>
      <c r="Y15" s="337">
        <f>SUM(W15)</f>
        <v>8303</v>
      </c>
      <c r="Z15" s="338" t="str">
        <f>IF(ISNUMBER(Datos!CC15),Datos!CC15," - ")</f>
        <v xml:space="preserve"> - </v>
      </c>
      <c r="AA15" s="335">
        <f>IF(ISNUMBER(IF(D_I="SI",Datos!L15,Datos!L15+Datos!AF15)),IF(D_I="SI",Datos!L15,Datos!L15+Datos!AF15)," - ")</f>
        <v>2477</v>
      </c>
      <c r="AB15" s="337">
        <f>IF(ISNUMBER(Datos!R15),Datos!R15," - ")</f>
        <v>464</v>
      </c>
      <c r="AC15" s="337">
        <f t="shared" ref="AC15:AC17" si="6">IF(ISNUMBER(AA15+AB15),AA15+AB15," - ")</f>
        <v>2941</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1726</v>
      </c>
      <c r="AJ15" s="234" t="str">
        <f>IF(ISNUMBER(Datos!BW15),Datos!BW15," - ")</f>
        <v xml:space="preserve"> - </v>
      </c>
      <c r="AK15" s="235" t="str">
        <f>IF(ISNUMBER(Datos!BX15),Datos!BX15," - ")</f>
        <v xml:space="preserve"> - </v>
      </c>
      <c r="AL15" s="246">
        <f>IF(ISNUMBER(NºAsuntos!G15/NºAsuntos!E15),NºAsuntos!G15/NºAsuntos!E15," - ")</f>
        <v>0.93607666290868097</v>
      </c>
      <c r="AM15" s="263">
        <f>IF(ISNUMBER(((NºAsuntos!I15/NºAsuntos!G15)*11)/factor_trimestre),((NºAsuntos!I15/NºAsuntos!G15)*11)/factor_trimestre," - ")</f>
        <v>3.2815849692882089</v>
      </c>
      <c r="AN15" s="247">
        <f>IF(ISNUMBER('Resol  Asuntos'!D15/NºAsuntos!G15),'Resol  Asuntos'!D15/NºAsuntos!G15," - ")</f>
        <v>0.20787667108274119</v>
      </c>
      <c r="AO15" s="248">
        <f>IF(ISNUMBER((NºAsuntos!C15+NºAsuntos!E15)/NºAsuntos!G15),(NºAsuntos!C15+NºAsuntos!E15)/NºAsuntos!G15," - ")</f>
        <v>1.2889317114296037</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276</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24</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1448</v>
      </c>
      <c r="X17" s="229">
        <f>IF(ISNUMBER(Datos!Q17),Datos!Q17," - ")</f>
        <v>18</v>
      </c>
      <c r="Y17" s="337">
        <f t="shared" si="7"/>
        <v>1466</v>
      </c>
      <c r="Z17" s="338" t="str">
        <f>IF(ISNUMBER(Datos!CC17),Datos!CC17," - ")</f>
        <v xml:space="preserve"> - </v>
      </c>
      <c r="AA17" s="335">
        <f>IF(ISNUMBER(Datos!L17),Datos!L17,"-")</f>
        <v>327</v>
      </c>
      <c r="AB17" s="337">
        <f>IF(ISNUMBER(Datos!R17),Datos!R17," - ")</f>
        <v>16</v>
      </c>
      <c r="AC17" s="337">
        <f t="shared" si="6"/>
        <v>343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139</v>
      </c>
      <c r="AJ17" s="234" t="str">
        <f>IF(ISNUMBER(Datos!BW17),Datos!BW17," - ")</f>
        <v xml:space="preserve"> - </v>
      </c>
      <c r="AK17" s="235" t="str">
        <f>IF(ISNUMBER(Datos!BX17),Datos!BX17," - ")</f>
        <v xml:space="preserve"> - </v>
      </c>
      <c r="AL17" s="246">
        <f>IF(ISNUMBER(NºAsuntos!G17/NºAsuntos!E17),NºAsuntos!G17/NºAsuntos!E17," - ")</f>
        <v>0.96662216288384517</v>
      </c>
      <c r="AM17" s="263">
        <f>IF(ISNUMBER(((NºAsuntos!I17/NºAsuntos!G17)*11)/factor_trimestre),((NºAsuntos!I17/NºAsuntos!G17)*11)/factor_trimestre," - ")</f>
        <v>2.4841160220994474</v>
      </c>
      <c r="AN17" s="247">
        <f>IF(ISNUMBER('Resol  Asuntos'!D17/NºAsuntos!G17),'Resol  Asuntos'!D17/NºAsuntos!G17," - ")</f>
        <v>9.5994475138121552E-2</v>
      </c>
      <c r="AO17" s="248">
        <f>IF(ISNUMBER((NºAsuntos!C17+NºAsuntos!E17)/NºAsuntos!G17),(NºAsuntos!C17+NºAsuntos!E17)/NºAsuntos!G17," - ")</f>
        <v>1.2251381215469612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6</v>
      </c>
      <c r="F18" s="868">
        <f>SUBTOTAL(9,F14:F17)</f>
        <v>1910</v>
      </c>
      <c r="G18" s="869">
        <f>SUBTOTAL(9,G15:G17)</f>
        <v>2108</v>
      </c>
      <c r="H18" s="868">
        <f t="shared" ref="H18:O18" si="10">SUBTOTAL(9,H14:H17)</f>
        <v>0</v>
      </c>
      <c r="I18" s="870">
        <f t="shared" si="10"/>
        <v>0</v>
      </c>
      <c r="J18" s="870">
        <f t="shared" si="10"/>
        <v>0</v>
      </c>
      <c r="K18" s="870">
        <f t="shared" si="10"/>
        <v>0</v>
      </c>
      <c r="L18" s="870">
        <f t="shared" si="10"/>
        <v>784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9751</v>
      </c>
      <c r="X18" s="870">
        <f t="shared" si="11"/>
        <v>764</v>
      </c>
      <c r="Y18" s="871">
        <f t="shared" si="11"/>
        <v>9769</v>
      </c>
      <c r="Z18" s="871">
        <f t="shared" si="11"/>
        <v>0</v>
      </c>
      <c r="AA18" s="871">
        <f t="shared" si="11"/>
        <v>2804</v>
      </c>
      <c r="AB18" s="871">
        <f t="shared" si="11"/>
        <v>480</v>
      </c>
      <c r="AC18" s="871">
        <f t="shared" si="11"/>
        <v>3284</v>
      </c>
      <c r="AD18" s="871">
        <f t="shared" si="11"/>
        <v>0</v>
      </c>
      <c r="AE18" s="875">
        <f t="shared" si="11"/>
        <v>0</v>
      </c>
      <c r="AF18" s="868">
        <f t="shared" si="11"/>
        <v>0</v>
      </c>
      <c r="AG18" s="876">
        <f t="shared" si="11"/>
        <v>0</v>
      </c>
      <c r="AH18" s="873">
        <f t="shared" si="11"/>
        <v>0</v>
      </c>
      <c r="AI18" s="868">
        <f t="shared" si="11"/>
        <v>1865</v>
      </c>
      <c r="AJ18" s="870">
        <f t="shared" si="11"/>
        <v>0</v>
      </c>
      <c r="AK18" s="873">
        <f t="shared" si="11"/>
        <v>0</v>
      </c>
      <c r="AL18" s="877">
        <f>IF(ISNUMBER(NºAsuntos!G18/NºAsuntos!E18),NºAsuntos!G18/NºAsuntos!E18," - ")</f>
        <v>0.94048996913580252</v>
      </c>
      <c r="AM18" s="877">
        <f>IF(ISNUMBER(((NºAsuntos!I18/NºAsuntos!G18)*11)/factor_trimestre),((NºAsuntos!I18/NºAsuntos!G18)*11)/factor_trimestre," - ")</f>
        <v>3.1631627525382009</v>
      </c>
      <c r="AN18" s="878">
        <f>IF(ISNUMBER('Resol  Asuntos'!D18/NºAsuntos!G18),'Resol  Asuntos'!D18/NºAsuntos!G18," - ")</f>
        <v>0.19126243462209006</v>
      </c>
      <c r="AO18" s="879">
        <f>IF(ISNUMBER((NºAsuntos!C18+NºAsuntos!E18)/NºAsuntos!G18),(NºAsuntos!C18+NºAsuntos!E18)/NºAsuntos!G18," - ")</f>
        <v>1.2794585170751718</v>
      </c>
      <c r="AP18" s="880" t="str">
        <f t="shared" si="2"/>
        <v xml:space="preserve"> - </v>
      </c>
      <c r="AQ18" s="880">
        <f>IF(ISNUMBER((H18-W18+K18)/(F18)),(H18-W18+K18)/(F18)," - ")</f>
        <v>-5.1052356020942407</v>
      </c>
      <c r="AR18" s="881">
        <f>IF(ISNUMBER((Datos!P18-Datos!Q18)/(Datos!R18-Datos!P18+Datos!Q18)),(Datos!P18-Datos!Q18)/(Datos!R18-Datos!P18+Datos!Q18)," - ")</f>
        <v>4.3478260869565216E-2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15</v>
      </c>
      <c r="F19" s="823">
        <f t="shared" si="13"/>
        <v>2041</v>
      </c>
      <c r="G19" s="824">
        <f t="shared" si="13"/>
        <v>2242</v>
      </c>
      <c r="H19" s="823">
        <f t="shared" si="13"/>
        <v>0</v>
      </c>
      <c r="I19" s="825">
        <f t="shared" si="13"/>
        <v>0</v>
      </c>
      <c r="J19" s="825">
        <f t="shared" si="13"/>
        <v>0</v>
      </c>
      <c r="K19" s="884">
        <f t="shared" si="13"/>
        <v>0</v>
      </c>
      <c r="L19" s="825">
        <f t="shared" si="13"/>
        <v>4212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9956</v>
      </c>
      <c r="X19" s="824">
        <f t="shared" si="14"/>
        <v>5999</v>
      </c>
      <c r="Y19" s="831">
        <f t="shared" si="14"/>
        <v>15209</v>
      </c>
      <c r="Z19" s="831">
        <f t="shared" si="14"/>
        <v>0</v>
      </c>
      <c r="AA19" s="831">
        <f t="shared" si="14"/>
        <v>2999</v>
      </c>
      <c r="AB19" s="831">
        <f t="shared" si="14"/>
        <v>12294</v>
      </c>
      <c r="AC19" s="831">
        <f t="shared" si="14"/>
        <v>3620</v>
      </c>
      <c r="AD19" s="831">
        <f t="shared" si="14"/>
        <v>0</v>
      </c>
      <c r="AE19" s="833">
        <f t="shared" si="14"/>
        <v>0</v>
      </c>
      <c r="AF19" s="834">
        <f t="shared" si="14"/>
        <v>0</v>
      </c>
      <c r="AG19" s="835">
        <f t="shared" si="14"/>
        <v>0</v>
      </c>
      <c r="AH19" s="833">
        <f t="shared" si="14"/>
        <v>0</v>
      </c>
      <c r="AI19" s="823">
        <f t="shared" si="14"/>
        <v>4266</v>
      </c>
      <c r="AJ19" s="823">
        <f t="shared" si="14"/>
        <v>0</v>
      </c>
      <c r="AK19" s="833">
        <f t="shared" si="14"/>
        <v>0</v>
      </c>
      <c r="AL19" s="887">
        <f>IF(ISNUMBER(NºAsuntos!G19/NºAsuntos!E19),NºAsuntos!G19/NºAsuntos!E19," - ")</f>
        <v>0.85421175295488594</v>
      </c>
      <c r="AM19" s="888">
        <f>IF(ISNUMBER(((NºAsuntos!I19/NºAsuntos!G19)*11)/factor_trimestre),((NºAsuntos!I19/NºAsuntos!G19)*11)/factor_trimestre," - ")</f>
        <v>6.4751278928136422</v>
      </c>
      <c r="AN19" s="888">
        <f>IF(ISNUMBER('Resol  Asuntos'!D19/NºAsuntos!G19),'Resol  Asuntos'!D19/NºAsuntos!G19," - ")</f>
        <v>0.20784409257003655</v>
      </c>
      <c r="AO19" s="889">
        <f>IF(ISNUMBER((NºAsuntos!C19+NºAsuntos!E19)/NºAsuntos!G19),(NºAsuntos!C19+NºAsuntos!E19)/NºAsuntos!G19," - ")</f>
        <v>1.6245066991473813</v>
      </c>
      <c r="AP19" s="890" t="str">
        <f t="shared" si="2"/>
        <v xml:space="preserve"> - </v>
      </c>
      <c r="AQ19" s="891">
        <f>IF(OR(ISNUMBER(FIND("01",Criterios!A8,1)),ISNUMBER(FIND("02",Criterios!A8,1)),ISNUMBER(FIND("03",Criterios!A8,1)),ISNUMBER(FIND("04",Criterios!A8,1))),(I19-W19+K19)/(F19-K19),(H19-W19+K19)/(F19-K19))</f>
        <v>-4.8780009799118078</v>
      </c>
      <c r="AR19" s="892">
        <f>IF(ISNUMBER((Datos!P19-Datos!Q19)/(Datos!R19-Datos!P19+Datos!Q19)),(Datos!P19-Datos!Q19)/(Datos!R19-Datos!P19+Datos!Q19)," - ")</f>
        <v>-0.12690860024146011</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896.8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3.2403703492039302</v>
      </c>
      <c r="F21" s="255">
        <f>IF(ISNUMBER(STDEV(F8:F18)),STDEV(F8:F18),"-")</f>
        <v>1027.1061288883443</v>
      </c>
      <c r="G21" s="256">
        <f>IF(ISNUMBER(STDEV(G8:G18)),STDEV(G8:G18),"-")</f>
        <v>986.24601393364321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4661.1429714180622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919.7857410961584</v>
      </c>
      <c r="AJ21" s="255">
        <f t="shared" si="18"/>
        <v>0</v>
      </c>
      <c r="AK21" s="257">
        <f t="shared" si="18"/>
        <v>0</v>
      </c>
      <c r="AL21" s="252">
        <f t="shared" si="18"/>
        <v>9.9698495480744678E-2</v>
      </c>
      <c r="AM21" s="253">
        <f t="shared" si="18"/>
        <v>3.6622564210375845</v>
      </c>
      <c r="AN21" s="253">
        <f t="shared" si="18"/>
        <v>8.3121901051389113E-2</v>
      </c>
      <c r="AO21" s="254">
        <f t="shared" si="18"/>
        <v>0.36899870310688793</v>
      </c>
      <c r="AP21" s="294" t="str">
        <f t="shared" si="18"/>
        <v>-</v>
      </c>
      <c r="AQ21" s="295">
        <f t="shared" si="18"/>
        <v>2.5034055676642044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X5rDx1kMxXtNXOn61fuHEuGrUR6nf642KWoWUq8vf9U4JsuEJaK6vaD8QmaPLfRvQkc6Udz1IB8cYeBzB101jg==" saltValue="30iqOf01kk5A1Y2sncCRc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CADIZ</v>
      </c>
      <c r="E3" s="266"/>
    </row>
    <row r="4" spans="2:20" ht="17.25" customHeight="1" thickBot="1">
      <c r="D4" s="265" t="str">
        <f>Criterios!A11 &amp;"  "&amp;Criterios!B11</f>
        <v>Resumenes por Partidos Judiciales  JEREZ DE LA FRONTERA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-7.407407407407407E-2</v>
      </c>
      <c r="I9" s="353">
        <f>IF(ISNUMBER((Tasas!C9-Datos!BE9)/Datos!BE9),(Tasas!C9-Datos!BE9)/Datos!BE9," - ")</f>
        <v>0.38270199197840593</v>
      </c>
      <c r="J9" s="352">
        <f>IF(ISNUMBER((Tasas!D9-Datos!BF9)/Datos!BF9),(Tasas!D9-Datos!BF9)/Datos!BF9," - ")</f>
        <v>-0.43922847813535465</v>
      </c>
      <c r="K9" s="354">
        <f>IF(ISNUMBER((Tasas!E9-Datos!BG9)/Datos!BG9),(Tasas!E9-Datos!BG9)/Datos!BG9," - ")</f>
        <v>0.22254665374689359</v>
      </c>
      <c r="M9" t="e">
        <f>IF(Monitorios="SI",Datos!CE9,0)</f>
        <v>#REF!</v>
      </c>
      <c r="N9" t="e">
        <f>IF(Monitorios="SI",Datos!CF9,0)</f>
        <v>#REF!</v>
      </c>
      <c r="O9" t="e">
        <f>IF(Monitorios="SI",Datos!CG9,0)</f>
        <v>#REF!</v>
      </c>
      <c r="P9" t="e">
        <f>IF(Monitorios="SI",Datos!CH9,0)</f>
        <v>#REF!</v>
      </c>
      <c r="Q9">
        <f>IF(J_V="SI",0,Datos!AG9)</f>
        <v>0</v>
      </c>
      <c r="R9">
        <f>IF(J_V="SI",0,Datos!AH9)</f>
        <v>276</v>
      </c>
      <c r="S9">
        <f>IF(J_V="SI",0,Datos!AI9)</f>
        <v>134</v>
      </c>
      <c r="T9">
        <f>IF(J_V="SI",0,Datos!AJ9)</f>
        <v>142</v>
      </c>
    </row>
    <row r="10" spans="2:20" ht="14.25">
      <c r="B10" s="278" t="s">
        <v>246</v>
      </c>
      <c r="C10" s="7" t="str">
        <f>Datos!A10</f>
        <v>Jdos. Violencia contra la mujer</v>
      </c>
      <c r="D10" s="355">
        <f>IF(ISNUMBER((Datos!I10-Datos!S10)/Datos!S10),(Datos!I10-Datos!S10)/Datos!S10," - ")</f>
        <v>-7.586206896551724E-2</v>
      </c>
      <c r="E10" s="351">
        <f>IF(ISNUMBER((Datos!J10-Datos!T10)/Datos!T10),(Datos!J10-Datos!T10)/Datos!T10," - ")</f>
        <v>0.17982456140350878</v>
      </c>
      <c r="F10" s="351">
        <f>IF(ISNUMBER((Datos!K10-Datos!U10)/Datos!U10),(Datos!K10-Datos!U10)/Datos!U10," - ")</f>
        <v>-0.12393162393162394</v>
      </c>
      <c r="G10" s="352">
        <f>IF(ISNUMBER((Datos!L10-Datos!V10)/Datos!V10),(Datos!L10-Datos!V10)/Datos!V10," - ")</f>
        <v>0.45522388059701491</v>
      </c>
      <c r="H10" s="233">
        <f>IF(ISNUMBER((Datos!M10-Datos!W10)/Datos!W10),(Datos!M10-Datos!W10)/Datos!W10," - ")</f>
        <v>-0.19148936170212766</v>
      </c>
      <c r="I10" s="353">
        <f>IF(ISNUMBER((Tasas!C10-Datos!BE10)/Datos!BE10),(Tasas!C10-Datos!BE10)/Datos!BE10," - ")</f>
        <v>0.66108481980342193</v>
      </c>
      <c r="J10" s="352">
        <f>IF(ISNUMBER((Tasas!D10-Datos!BF10)/Datos!BF10),(Tasas!D10-Datos!BF10)/Datos!BF10," - ")</f>
        <v>-7.711468604047747E-2</v>
      </c>
      <c r="K10" s="354">
        <f>IF(ISNUMBER((Tasas!E10-Datos!BG10)/Datos!BG10),(Tasas!E10-Datos!BG10)/Datos!BG10," - ")</f>
        <v>0.23327012358595425</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-0.15474642392717816</v>
      </c>
      <c r="I11" s="353">
        <f>IF(ISNUMBER((Tasas!C11-Datos!BE11)/Datos!BE11),(Tasas!C11-Datos!BE11)/Datos!BE11," - ")</f>
        <v>0.23736953143384798</v>
      </c>
      <c r="J11" s="352">
        <f>IF(ISNUMBER((Tasas!D11-Datos!BF11)/Datos!BF11),(Tasas!D11-Datos!BF11)/Datos!BF11," - ")</f>
        <v>-0.30627172617101228</v>
      </c>
      <c r="K11" s="354">
        <f>IF(ISNUMBER((Tasas!E11-Datos!BG11)/Datos!BG11),(Tasas!E11-Datos!BG11)/Datos!BG11," - ")</f>
        <v>6.7811083442510869E-2</v>
      </c>
      <c r="M11" t="e">
        <f>IF(Monitorios="SI",Datos!CE11,0)</f>
        <v>#REF!</v>
      </c>
      <c r="N11" t="e">
        <f>IF(Monitorios="SI",Datos!CF11,0)</f>
        <v>#REF!</v>
      </c>
      <c r="O11" t="e">
        <f>IF(Monitorios="SI",Datos!CG11,0)</f>
        <v>#REF!</v>
      </c>
      <c r="P11" t="e">
        <f>IF(Monitorios="SI",Datos!CH11,0)</f>
        <v>#REF!</v>
      </c>
      <c r="Q11">
        <f>IF(J_V="SI",0,Datos!AG11)</f>
        <v>449</v>
      </c>
      <c r="R11">
        <f>IF(J_V="SI",0,Datos!AH11)</f>
        <v>699</v>
      </c>
      <c r="S11">
        <f>IF(J_V="SI",0,Datos!AI11)</f>
        <v>984</v>
      </c>
      <c r="T11">
        <f>IF(J_V="SI",0,Datos!AJ11)</f>
        <v>164</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-0.10142215568862276</v>
      </c>
      <c r="I13" s="360">
        <f>IF(ISNUMBER((Tasas!C13-Datos!BE13)/Datos!BE13),(Tasas!C13-Datos!BE13)/Datos!BE13," - ")</f>
        <v>0.37613880591567472</v>
      </c>
      <c r="J13" s="358">
        <f>IF(ISNUMBER((Tasas!D13-Datos!BF13)/Datos!BF13),(Tasas!D13-Datos!BF13)/Datos!BF13," - ")</f>
        <v>-0.40117160000731089</v>
      </c>
      <c r="K13" s="361">
        <f>IF(ISNUMBER((Tasas!E13-Datos!BG13)/Datos!BG13),(Tasas!E13-Datos!BG13)/Datos!BG13," - ")</f>
        <v>0.19571357074967843</v>
      </c>
      <c r="M13" t="e">
        <f>IF(Monitorios="SI",Datos!CE13,0)</f>
        <v>#REF!</v>
      </c>
      <c r="N13" t="e">
        <f>IF(Monitorios="SI",Datos!CF13,0)</f>
        <v>#REF!</v>
      </c>
      <c r="O13" t="e">
        <f>IF(Monitorios="SI",Datos!CG13,0)</f>
        <v>#REF!</v>
      </c>
      <c r="P13" t="e">
        <f>IF(Monitorios="SI",Datos!CH13,0)</f>
        <v>#REF!</v>
      </c>
      <c r="Q13">
        <f>IF(J_V="SI",0,Datos!AG13)</f>
        <v>449</v>
      </c>
      <c r="R13">
        <f>IF(J_V="SI",0,Datos!AH13)</f>
        <v>975</v>
      </c>
      <c r="S13">
        <f>IF(J_V="SI",0,Datos!AI13)</f>
        <v>1118</v>
      </c>
      <c r="T13">
        <f>IF(J_V="SI",0,Datos!AJ13)</f>
        <v>306</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4.209328782707622E-2</v>
      </c>
      <c r="E15" s="351">
        <f>IF(ISNUMBER(
   IF(D_I="SI",(Datos!J15-Datos!T15)/Datos!T15,(Datos!J15+Datos!AD15-(Datos!T15+Datos!AL15))/(Datos!T15+Datos!AL15))
     ),IF(D_I="SI",(Datos!J15-Datos!T15)/Datos!T15,(Datos!J15+Datos!AD15-(Datos!T15+Datos!AL15))/(Datos!T15+Datos!AL15))," - ")</f>
        <v>-6.5430407754714995E-2</v>
      </c>
      <c r="F15" s="351">
        <f>IF(ISNUMBER(
   IF(D_I="SI",(Datos!K15-Datos!U15)/Datos!U15,(Datos!K15+Datos!AE15-(Datos!U15+Datos!AM15))/(Datos!U15+Datos!AM15))
     ),IF(D_I="SI",(Datos!K15-Datos!U15)/Datos!U15,(Datos!K15+Datos!AE15-(Datos!U15+Datos!AM15))/(Datos!U15+Datos!AM15))," - ")</f>
        <v>-0.13075795644891122</v>
      </c>
      <c r="G15" s="352">
        <f>IF(ISNUMBER(
   IF(D_I="SI",(Datos!L15-Datos!V15)/Datos!V15,(Datos!L15+Datos!AF15-(Datos!V15+Datos!AN15))/(Datos!V15+Datos!AN15))
     ),IF(D_I="SI",(Datos!L15-Datos!V15)/Datos!V15,(Datos!L15+Datos!AF15-(Datos!V15+Datos!AN15))/(Datos!V15+Datos!AN15))," - ")</f>
        <v>0.35207423580786024</v>
      </c>
      <c r="H15" s="233">
        <f>IF(ISNUMBER((Datos!M15-Datos!W15)/Datos!W15),(Datos!M15-Datos!W15)/Datos!W15," - ")</f>
        <v>-8.9182058047493407E-2</v>
      </c>
      <c r="I15" s="353">
        <f>IF(ISNUMBER((Tasas!C15-Datos!BE15)/Datos!BE15),(Tasas!C15-Datos!BE15)/Datos!BE15," - ")</f>
        <v>0.5554634590433194</v>
      </c>
      <c r="J15" s="352">
        <f>IF(ISNUMBER((Tasas!D15-Datos!BF15)/Datos!BF15),(Tasas!D15-Datos!BF15)/Datos!BF15," - ")</f>
        <v>4.7830059199125974E-2</v>
      </c>
      <c r="K15" s="354">
        <f>IF(ISNUMBER((Tasas!E15-Datos!BG15)/Datos!BG15),(Tasas!E15-Datos!BG15)/Datos!BG15," - ")</f>
        <v>9.4486239450224344E-2</v>
      </c>
    </row>
    <row r="16" spans="2:20" ht="14.25">
      <c r="B16" s="278" t="s">
        <v>396</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-0.18100890207715134</v>
      </c>
      <c r="E17" s="351">
        <f>IF(ISNUMBER(
   IF(D_I="SI",(Datos!J17-Datos!T17)/Datos!T17,(Datos!J17+Datos!AD17-(Datos!T17+Datos!AL17))/(Datos!T17+Datos!AL17))
     ),IF(D_I="SI",(Datos!J17-Datos!T17)/Datos!T17,(Datos!J17+Datos!AD17-(Datos!T17+Datos!AL17))/(Datos!T17+Datos!AL17))," - ")</f>
        <v>9.0247452692867547E-2</v>
      </c>
      <c r="F17" s="351">
        <f>IF(ISNUMBER(
   IF(D_I="SI",(Datos!K17-Datos!U17)/Datos!U17,(Datos!K17+Datos!AE17-(Datos!U17+Datos!AM17))/(Datos!U17+Datos!AM17))
     ),IF(D_I="SI",(Datos!K17-Datos!U17)/Datos!U17,(Datos!K17+Datos!AE17-(Datos!U17+Datos!AM17))/(Datos!U17+Datos!AM17))," - ")</f>
        <v>6.2543432939541352E-3</v>
      </c>
      <c r="G17" s="352">
        <f>IF(ISNUMBER(
   IF(D_I="SI",(Datos!L17-Datos!V17)/Datos!V17,(Datos!L17+Datos!AF17-(Datos!V17+Datos!AN17))/(Datos!V17+Datos!AN17))
     ),IF(D_I="SI",(Datos!L17-Datos!V17)/Datos!V17,(Datos!L17+Datos!AF17-(Datos!V17+Datos!AN17))/(Datos!V17+Datos!AN17))," - ")</f>
        <v>0.18478260869565216</v>
      </c>
      <c r="H17" s="233">
        <f>IF(ISNUMBER((Datos!M17-Datos!W17)/Datos!W17),(Datos!M17-Datos!W17)/Datos!W17," - ")</f>
        <v>0.32380952380952382</v>
      </c>
      <c r="I17" s="353">
        <f>IF(ISNUMBER((Tasas!C17-Datos!BE17)/Datos!BE17),(Tasas!C17-Datos!BE17)/Datos!BE17," - ")</f>
        <v>0.17741862839298569</v>
      </c>
      <c r="J17" s="352">
        <f>IF(ISNUMBER((Tasas!D17-Datos!BF17)/Datos!BF17),(Tasas!D17-Datos!BF17)/Datos!BF17," - ")</f>
        <v>0.31558142594054212</v>
      </c>
      <c r="K17" s="354">
        <f>IF(ISNUMBER((Tasas!E17-Datos!BG17)/Datos!BG17),(Tasas!E17-Datos!BG17)/Datos!BG17," - ")</f>
        <v>3.0376246000045067E-2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6.205250596658711E-3</v>
      </c>
      <c r="E18" s="357">
        <f>IF(ISNUMBER(
   IF(D_I="SI",(Datos!J18-Datos!T18)/Datos!T18,(Datos!J18+Datos!AD18-(Datos!T18+Datos!AL18))/(Datos!T18+Datos!AL18))
     ),IF(D_I="SI",(Datos!J18-Datos!T18)/Datos!T18,(Datos!J18+Datos!AD18-(Datos!T18+Datos!AL18))/(Datos!T18+Datos!AL18))," - ")</f>
        <v>-4.5743212149102624E-2</v>
      </c>
      <c r="F18" s="357">
        <f>IF(ISNUMBER(
   IF(D_I="SI",(Datos!K18-Datos!U18)/Datos!U18,(Datos!K18+Datos!AE18-(Datos!U18+Datos!AM18))/(Datos!U18+Datos!AM18))
     ),IF(D_I="SI",(Datos!K18-Datos!U18)/Datos!U18,(Datos!K18+Datos!AE18-(Datos!U18+Datos!AM18))/(Datos!U18+Datos!AM18))," - ")</f>
        <v>-0.11281957965608225</v>
      </c>
      <c r="G18" s="358">
        <f>IF(ISNUMBER(
   IF(D_I="SI",(Datos!L18-Datos!V18)/Datos!V18,(Datos!L18+Datos!AF18-(Datos!V18+Datos!AN18))/(Datos!V18+Datos!AN18))
     ),IF(D_I="SI",(Datos!L18-Datos!V18)/Datos!V18,(Datos!L18+Datos!AF18-(Datos!V18+Datos!AN18))/(Datos!V18+Datos!AN18))," - ")</f>
        <v>0.33017077798861483</v>
      </c>
      <c r="H18" s="359">
        <f>IF(ISNUMBER((Datos!M18-Datos!W18)/Datos!W18),(Datos!M18-Datos!W18)/Datos!W18," - ")</f>
        <v>-6.7500000000000004E-2</v>
      </c>
      <c r="I18" s="360">
        <f>IF(ISNUMBER((Tasas!C18-Datos!BE18)/Datos!BE18),(Tasas!C18-Datos!BE18)/Datos!BE18," - ")</f>
        <v>0.49932386635964149</v>
      </c>
      <c r="J18" s="358">
        <f>IF(ISNUMBER((Tasas!D18-Datos!BF18)/Datos!BF18),(Tasas!D18-Datos!BF18)/Datos!BF18," - ")</f>
        <v>5.1082709465695902E-2</v>
      </c>
      <c r="K18" s="361">
        <f>IF(ISNUMBER((Tasas!E18-Datos!BG18)/Datos!BG18),(Tasas!E18-Datos!BG18)/Datos!BG18," - ")</f>
        <v>8.5071648238673858E-2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0.15656816488701267</v>
      </c>
      <c r="E19" s="366">
        <f>IF(ISNUMBER(
   IF(J_V="SI",(Datos!J19-Datos!T19)/Datos!T19,(Datos!J19+Datos!Z19-(Datos!T19+Datos!AH19))/(Datos!T19+Datos!AH19))
     ),IF(J_V="SI",(Datos!J19-Datos!T19)/Datos!T19,(Datos!J19+Datos!Z19-(Datos!T19+Datos!AH19))/(Datos!T19+Datos!AH19))," - ")</f>
        <v>1.9820890454564748E-2</v>
      </c>
      <c r="F19" s="366">
        <f>IF(ISNUMBER(
   IF(J_V="SI",(Datos!K19-Datos!U19)/Datos!U19,(Datos!K19+Datos!AA19-(Datos!U19+Datos!AI19))/(Datos!U19+Datos!AI19))
     ),IF(J_V="SI",(Datos!K19-Datos!U19)/Datos!U19,(Datos!K19+Datos!AA19-(Datos!U19+Datos!AI19))/(Datos!U19+Datos!AI19))," - ")</f>
        <v>-8.8102008174871155E-2</v>
      </c>
      <c r="G19" s="367">
        <f>IF(ISNUMBER(
   IF(J_V="SI",(Datos!L19-Datos!V19)/Datos!V19,(Datos!L19+Datos!AB19-(Datos!V19+Datos!AJ19))/(Datos!V19+Datos!AJ19))
     ),IF(J_V="SI",(Datos!L19-Datos!V19)/Datos!V19,(Datos!L19+Datos!AB19-(Datos!V19+Datos!AJ19))/(Datos!V19+Datos!AJ19))," - ")</f>
        <v>0.29704777241009123</v>
      </c>
      <c r="H19" s="368">
        <f>IF(ISNUMBER((Datos!M19-Datos!W19)/Datos!W19),(Datos!M19-Datos!W19)/Datos!W19," - ")</f>
        <v>-8.690068493150685E-2</v>
      </c>
      <c r="I19" s="365">
        <f>IF(ISNUMBER((Tasas!C19-Datos!BE19)/Datos!BE19),(Tasas!C19-Datos!BE19)/Datos!BE19," - ")</f>
        <v>0.42236059738885917</v>
      </c>
      <c r="J19" s="366">
        <f>IF(ISNUMBER((Tasas!D19-Datos!BF19)/Datos!BF19),(Tasas!D19-Datos!BF19)/Datos!BF19," - ")</f>
        <v>-0.25578192243614661</v>
      </c>
      <c r="K19" s="367">
        <f>IF(ISNUMBER((Tasas!E19-Datos!BG19)/Datos!BG19),(Tasas!E19-Datos!BG19)/Datos!BG19," - ")</f>
        <v>0.15655216778140948</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9.9085840296549876E-2</v>
      </c>
      <c r="E21" s="281">
        <f t="shared" si="1"/>
        <v>0.1162509933992513</v>
      </c>
      <c r="F21" s="281">
        <f t="shared" si="1"/>
        <v>6.4801759991260408E-2</v>
      </c>
      <c r="G21" s="282">
        <f t="shared" si="1"/>
        <v>0.11143779242862804</v>
      </c>
      <c r="H21" s="288">
        <f t="shared" si="1"/>
        <v>0.17116603384945817</v>
      </c>
      <c r="I21" s="280">
        <f t="shared" si="1"/>
        <v>0.17219889903979571</v>
      </c>
      <c r="J21" s="281">
        <f t="shared" si="1"/>
        <v>0.27824847645176876</v>
      </c>
      <c r="K21" s="282">
        <f t="shared" si="1"/>
        <v>8.2226247236762681E-2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qFzIqepzPSNrjhULeBO49dvOKDEONAJOK50/Kzesp+sB5u/baiROM05JZxdA+/9iRWoMgFwD46jsYVle6qO7Fg==" saltValue="MwsehLQ465B59PxRrAUmV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2024-05-03T08:56:05Z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